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1D97778-B4A6-4E3C-9F63-F209EFB33D0C}" xr6:coauthVersionLast="47" xr6:coauthVersionMax="47" xr10:uidLastSave="{00000000-0000-0000-0000-000000000000}"/>
  <bookViews>
    <workbookView xWindow="-120" yWindow="-120" windowWidth="20730" windowHeight="11160" xr2:uid="{C3004931-BA26-43DF-B599-D4412351FB75}"/>
  </bookViews>
  <sheets>
    <sheet name="CÁLCULO GLOBAL" sheetId="1" r:id="rId1"/>
    <sheet name="Auxili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L151" i="1"/>
  <c r="U46" i="1"/>
  <c r="D20" i="1"/>
  <c r="D23" i="1" s="1"/>
  <c r="R35" i="1" l="1"/>
  <c r="L144" i="1"/>
  <c r="L145" i="1"/>
  <c r="D24" i="1"/>
  <c r="D25" i="1"/>
  <c r="D22" i="1"/>
  <c r="D13" i="1"/>
  <c r="D15" i="1" s="1"/>
  <c r="D16" i="1" s="1"/>
  <c r="O29" i="1"/>
  <c r="Q31" i="1" s="1"/>
  <c r="K91" i="1"/>
  <c r="M36" i="2"/>
  <c r="X2" i="2" a="1"/>
  <c r="X2" i="2" s="1"/>
  <c r="I172" i="1"/>
  <c r="I173" i="1"/>
  <c r="I174" i="1"/>
  <c r="I175" i="1"/>
  <c r="I176" i="1"/>
  <c r="I177" i="1"/>
  <c r="I178" i="1"/>
  <c r="I179" i="1"/>
  <c r="I180" i="1"/>
  <c r="I181" i="1"/>
  <c r="I182" i="1"/>
  <c r="I171" i="1"/>
  <c r="X1" i="2" a="1"/>
  <c r="X1" i="2" s="1"/>
  <c r="D172" i="1"/>
  <c r="E169" i="1"/>
  <c r="E170" i="1" s="1"/>
  <c r="E174" i="1" s="1"/>
  <c r="G2" i="2"/>
  <c r="D56" i="1" s="1" a="1"/>
  <c r="D56" i="1" s="1"/>
  <c r="AC44" i="2"/>
  <c r="AB44" i="2"/>
  <c r="X44" i="2"/>
  <c r="AC43" i="2"/>
  <c r="AB43" i="2"/>
  <c r="X43" i="2"/>
  <c r="AC42" i="2"/>
  <c r="AB42" i="2"/>
  <c r="X42" i="2"/>
  <c r="AC41" i="2"/>
  <c r="AB41" i="2"/>
  <c r="X41" i="2"/>
  <c r="AC40" i="2"/>
  <c r="AB40" i="2"/>
  <c r="X40" i="2"/>
  <c r="AC39" i="2"/>
  <c r="AB39" i="2"/>
  <c r="X39" i="2"/>
  <c r="AC38" i="2"/>
  <c r="AB38" i="2"/>
  <c r="X38" i="2"/>
  <c r="AC37" i="2"/>
  <c r="AB37" i="2"/>
  <c r="X37" i="2"/>
  <c r="AC36" i="2"/>
  <c r="AB36" i="2"/>
  <c r="X36" i="2"/>
  <c r="AC35" i="2"/>
  <c r="AB35" i="2"/>
  <c r="X35" i="2"/>
  <c r="AC34" i="2"/>
  <c r="AB34" i="2"/>
  <c r="X34" i="2"/>
  <c r="AC33" i="2"/>
  <c r="AB33" i="2"/>
  <c r="X33" i="2"/>
  <c r="AC32" i="2"/>
  <c r="AB32" i="2"/>
  <c r="X32" i="2"/>
  <c r="AC31" i="2"/>
  <c r="AB31" i="2"/>
  <c r="X31" i="2"/>
  <c r="AC30" i="2"/>
  <c r="AB30" i="2"/>
  <c r="X30" i="2"/>
  <c r="AC29" i="2"/>
  <c r="AB29" i="2"/>
  <c r="X29" i="2"/>
  <c r="AC28" i="2"/>
  <c r="AB28" i="2"/>
  <c r="X28" i="2"/>
  <c r="AC27" i="2"/>
  <c r="AB27" i="2"/>
  <c r="X27" i="2"/>
  <c r="AC26" i="2"/>
  <c r="AB26" i="2"/>
  <c r="X26" i="2"/>
  <c r="AC25" i="2"/>
  <c r="AB25" i="2"/>
  <c r="X25" i="2"/>
  <c r="AC24" i="2"/>
  <c r="AB24" i="2"/>
  <c r="X24" i="2"/>
  <c r="AC23" i="2"/>
  <c r="AB23" i="2"/>
  <c r="X23" i="2"/>
  <c r="AC22" i="2"/>
  <c r="AB22" i="2"/>
  <c r="X22" i="2"/>
  <c r="AC21" i="2"/>
  <c r="AB21" i="2"/>
  <c r="X21" i="2"/>
  <c r="AC20" i="2"/>
  <c r="AB20" i="2"/>
  <c r="X20" i="2"/>
  <c r="AC19" i="2"/>
  <c r="AB19" i="2"/>
  <c r="X19" i="2"/>
  <c r="AC18" i="2"/>
  <c r="AB18" i="2"/>
  <c r="X18" i="2"/>
  <c r="AC17" i="2"/>
  <c r="AB17" i="2"/>
  <c r="X17" i="2"/>
  <c r="AC16" i="2"/>
  <c r="AB16" i="2"/>
  <c r="X16" i="2"/>
  <c r="AC15" i="2"/>
  <c r="AB15" i="2"/>
  <c r="X15" i="2"/>
  <c r="AC14" i="2"/>
  <c r="AB14" i="2"/>
  <c r="X14" i="2"/>
  <c r="AC13" i="2"/>
  <c r="X13" i="2"/>
  <c r="AC12" i="2"/>
  <c r="X12" i="2"/>
  <c r="AC11" i="2"/>
  <c r="X11" i="2"/>
  <c r="AC10" i="2"/>
  <c r="X10" i="2"/>
  <c r="AC9" i="2"/>
  <c r="X9" i="2"/>
  <c r="AC8" i="2"/>
  <c r="X8" i="2"/>
  <c r="AC7" i="2"/>
  <c r="X7" i="2"/>
  <c r="AC6" i="2"/>
  <c r="X6" i="2"/>
  <c r="AC5" i="2"/>
  <c r="X5" i="2"/>
  <c r="E182" i="1" l="1" a="1"/>
  <c r="E182" i="1" s="1"/>
  <c r="E178" i="1" a="1"/>
  <c r="E178" i="1" s="1"/>
  <c r="E179" i="1" a="1"/>
  <c r="E179" i="1" s="1"/>
  <c r="E180" i="1" a="1"/>
  <c r="E180" i="1" s="1"/>
  <c r="E181" i="1" a="1"/>
  <c r="E181" i="1" s="1"/>
  <c r="D53" i="1" a="1"/>
  <c r="D53" i="1" s="1"/>
  <c r="E168" i="1" s="1"/>
  <c r="E171" i="1" s="1"/>
  <c r="D54" i="1" a="1"/>
  <c r="D54" i="1" s="1"/>
  <c r="D55" i="1" a="1"/>
  <c r="D55" i="1" s="1"/>
  <c r="D183" i="1" l="1"/>
  <c r="E184" i="1" s="1"/>
  <c r="L239" i="1" l="1"/>
  <c r="L238" i="1"/>
  <c r="L234" i="1"/>
  <c r="L233" i="1" s="1"/>
  <c r="L231" i="1"/>
  <c r="K13" i="2"/>
  <c r="K2" i="2"/>
  <c r="L222" i="1"/>
  <c r="L13" i="2" s="1"/>
  <c r="L220" i="1"/>
  <c r="L2" i="2" s="1"/>
  <c r="L219" i="1"/>
  <c r="L218" i="1"/>
  <c r="L217" i="1"/>
  <c r="L215" i="1"/>
  <c r="L244" i="1" s="1"/>
  <c r="D105" i="1"/>
  <c r="L237" i="1" l="1"/>
  <c r="S29" i="1"/>
  <c r="L224" i="1" a="1"/>
  <c r="L224" i="1" s="1"/>
  <c r="L223" i="1" a="1"/>
  <c r="L223" i="1" s="1"/>
  <c r="L230" i="1"/>
  <c r="L221" i="1"/>
  <c r="L216" i="1"/>
  <c r="L236" i="1" l="1"/>
  <c r="L225" i="1"/>
  <c r="L232" i="1"/>
  <c r="L226" i="1"/>
  <c r="M2" i="2"/>
  <c r="L227" i="1" l="1"/>
  <c r="K228" i="1" s="1"/>
  <c r="L36" i="2"/>
  <c r="O245" i="1" s="1" a="1"/>
  <c r="O245" i="1" s="1"/>
  <c r="L235" i="1"/>
  <c r="S236" i="1" s="1"/>
  <c r="S247" i="1" a="1"/>
  <c r="S247" i="1" s="1"/>
  <c r="S248" i="1" s="1"/>
  <c r="S249" i="1" s="1"/>
  <c r="F36" i="2"/>
  <c r="S150" i="1" l="1" a="1"/>
  <c r="S150" i="1" s="1"/>
  <c r="S138" i="1" a="1"/>
  <c r="S138" i="1" s="1"/>
  <c r="S141" i="1" a="1"/>
  <c r="S141" i="1" s="1"/>
  <c r="S139" i="1" a="1"/>
  <c r="S139" i="1" s="1"/>
  <c r="L153" i="1" l="1"/>
  <c r="L146" i="1"/>
  <c r="L139" i="1"/>
  <c r="L138" i="1"/>
  <c r="L140" i="1" s="1"/>
  <c r="L99" i="1"/>
  <c r="L149" i="1" l="1"/>
  <c r="L147" i="1"/>
  <c r="S143" i="1"/>
  <c r="S151" i="1"/>
  <c r="S155" i="1" s="1"/>
  <c r="S144" i="1"/>
  <c r="S123" i="1" l="1"/>
  <c r="D104" i="1"/>
  <c r="L148" i="1" s="1"/>
  <c r="L154" i="1" s="1"/>
  <c r="D100" i="1" l="1"/>
  <c r="D102" i="1"/>
  <c r="D103" i="1" s="1"/>
  <c r="D106" i="1" s="1"/>
  <c r="D101" i="1" l="1"/>
  <c r="L114" i="1" s="1"/>
  <c r="L115" i="1" s="1"/>
  <c r="L112" i="1" l="1"/>
  <c r="L113" i="1" s="1"/>
  <c r="L116" i="1" s="1"/>
  <c r="L117" i="1" s="1"/>
  <c r="L118" i="1" s="1"/>
  <c r="L104" i="1"/>
  <c r="L105" i="1" s="1"/>
  <c r="L102" i="1"/>
  <c r="L103" i="1" s="1"/>
  <c r="L106" i="1" l="1"/>
  <c r="L107" i="1" s="1"/>
  <c r="L108" i="1" s="1"/>
  <c r="L109" i="1" s="1"/>
  <c r="L110" i="1" s="1"/>
  <c r="L119" i="1"/>
  <c r="L120" i="1" s="1"/>
  <c r="L121" i="1" l="1"/>
  <c r="L122" i="1" s="1"/>
  <c r="S125" i="1" s="1"/>
  <c r="F2" i="2"/>
  <c r="D50" i="1" s="1" a="1"/>
  <c r="D50" i="1" s="1"/>
  <c r="E2" i="2"/>
  <c r="D46" i="1" s="1" a="1"/>
  <c r="D46" i="1" s="1"/>
  <c r="S99" i="1" l="1"/>
  <c r="S101" i="1" s="1"/>
  <c r="S100" i="1"/>
  <c r="S102" i="1" s="1"/>
  <c r="D48" i="1" a="1"/>
  <c r="D48" i="1" s="1"/>
  <c r="D49" i="1" a="1"/>
  <c r="D49" i="1" s="1"/>
  <c r="D51" i="1" a="1"/>
  <c r="D51" i="1" s="1"/>
  <c r="D43" i="1" a="1"/>
  <c r="D43" i="1" s="1"/>
  <c r="D44" i="1" a="1"/>
  <c r="D44" i="1" s="1"/>
  <c r="D45" i="1" a="1"/>
  <c r="D45" i="1" s="1"/>
  <c r="S233" i="1" l="1"/>
  <c r="L157" i="1"/>
  <c r="S103" i="1"/>
  <c r="S116" i="1" s="1"/>
  <c r="S117" i="1" s="1"/>
  <c r="I31" i="1"/>
  <c r="I17" i="1"/>
  <c r="K11" i="1"/>
  <c r="L171" i="1"/>
  <c r="L181" i="1" l="1"/>
  <c r="N180" i="1"/>
  <c r="L182" i="1"/>
  <c r="N181" i="1"/>
  <c r="N182" i="1"/>
  <c r="L172" i="1"/>
  <c r="M180" i="1"/>
  <c r="M181" i="1"/>
  <c r="M182" i="1"/>
  <c r="L173" i="1"/>
  <c r="L174" i="1"/>
  <c r="L175" i="1"/>
  <c r="L176" i="1"/>
  <c r="L177" i="1"/>
  <c r="L178" i="1"/>
  <c r="L179" i="1"/>
  <c r="L180" i="1"/>
  <c r="S105" i="1"/>
  <c r="S106" i="1" s="1"/>
  <c r="S111" i="1"/>
  <c r="S112" i="1" s="1"/>
  <c r="S107" i="1"/>
  <c r="S108" i="1" s="1"/>
  <c r="S114" i="1"/>
  <c r="S115" i="1" s="1"/>
  <c r="S118" i="1" s="1"/>
  <c r="S119" i="1" s="1"/>
  <c r="S109" i="1"/>
  <c r="S110" i="1" s="1"/>
  <c r="P20" i="1"/>
  <c r="K41" i="1"/>
  <c r="H40" i="1"/>
  <c r="J180" i="1" s="1"/>
  <c r="H32" i="1"/>
  <c r="J172" i="1" s="1"/>
  <c r="S21" i="1"/>
  <c r="L41" i="1"/>
  <c r="K39" i="1"/>
  <c r="P21" i="1"/>
  <c r="K42" i="1"/>
  <c r="H41" i="1"/>
  <c r="J181" i="1" s="1"/>
  <c r="J42" i="1"/>
  <c r="K35" i="1"/>
  <c r="K38" i="1"/>
  <c r="K32" i="1"/>
  <c r="H42" i="1"/>
  <c r="J182" i="1" s="1"/>
  <c r="S20" i="1"/>
  <c r="K33" i="1"/>
  <c r="Q20" i="1"/>
  <c r="L42" i="1"/>
  <c r="I42" i="1"/>
  <c r="I41" i="1"/>
  <c r="H34" i="1"/>
  <c r="J174" i="1" s="1"/>
  <c r="H36" i="1"/>
  <c r="J176" i="1" s="1"/>
  <c r="K40" i="1"/>
  <c r="J41" i="1"/>
  <c r="Q21" i="1"/>
  <c r="K36" i="1"/>
  <c r="H37" i="1"/>
  <c r="J177" i="1" s="1"/>
  <c r="H38" i="1"/>
  <c r="J178" i="1" s="1"/>
  <c r="H39" i="1"/>
  <c r="J179" i="1" s="1"/>
  <c r="K37" i="1"/>
  <c r="H35" i="1"/>
  <c r="J175" i="1" s="1"/>
  <c r="K34" i="1"/>
  <c r="H33" i="1"/>
  <c r="J173" i="1" s="1"/>
  <c r="L27" i="1"/>
  <c r="H21" i="1"/>
  <c r="K20" i="1"/>
  <c r="H28" i="1"/>
  <c r="I28" i="1"/>
  <c r="K21" i="1"/>
  <c r="H26" i="1"/>
  <c r="K25" i="1"/>
  <c r="K18" i="1"/>
  <c r="J28" i="1"/>
  <c r="H19" i="1"/>
  <c r="K19" i="1"/>
  <c r="H25" i="1"/>
  <c r="K27" i="1"/>
  <c r="I27" i="1"/>
  <c r="H20" i="1"/>
  <c r="H22" i="1"/>
  <c r="H24" i="1"/>
  <c r="K24" i="1"/>
  <c r="H18" i="1"/>
  <c r="K22" i="1"/>
  <c r="K26" i="1"/>
  <c r="J27" i="1"/>
  <c r="L28" i="1"/>
  <c r="H23" i="1"/>
  <c r="K23" i="1"/>
  <c r="H27" i="1"/>
  <c r="K28" i="1"/>
  <c r="K31" i="1"/>
  <c r="K17" i="1"/>
  <c r="K12" i="1"/>
  <c r="K13" i="1" s="1"/>
  <c r="M41" i="1" l="1"/>
  <c r="M42" i="1"/>
  <c r="H17" i="1"/>
  <c r="H31" i="1"/>
  <c r="J171" i="1" s="1"/>
  <c r="I14" i="1" l="1"/>
  <c r="I32" i="1"/>
  <c r="I18" i="1"/>
  <c r="D2" i="2"/>
  <c r="D38" i="1" l="1" a="1"/>
  <c r="D38" i="1" s="1"/>
  <c r="S217" i="1" s="1"/>
  <c r="D87" i="1" a="1"/>
  <c r="D87" i="1" s="1"/>
  <c r="D86" i="1" a="1"/>
  <c r="D86" i="1" s="1"/>
  <c r="D85" i="1" a="1"/>
  <c r="D85" i="1" s="1"/>
  <c r="I19" i="1"/>
  <c r="I33" i="1"/>
  <c r="D40" i="1" a="1"/>
  <c r="D40" i="1" s="1"/>
  <c r="D41" i="1" a="1"/>
  <c r="D41" i="1" s="1"/>
  <c r="D39" i="1" a="1"/>
  <c r="D39" i="1" s="1"/>
  <c r="C88" i="1" l="1"/>
  <c r="S120" i="1"/>
  <c r="S121" i="1" s="1"/>
  <c r="S122" i="1" s="1"/>
  <c r="T20" i="1"/>
  <c r="T21" i="1"/>
  <c r="J32" i="1"/>
  <c r="L32" i="1" s="1"/>
  <c r="M32" i="1" s="1"/>
  <c r="R20" i="1"/>
  <c r="R21" i="1"/>
  <c r="J18" i="1"/>
  <c r="L18" i="1" s="1"/>
  <c r="M18" i="1" s="1"/>
  <c r="J33" i="1"/>
  <c r="L33" i="1" s="1"/>
  <c r="M33" i="1" s="1"/>
  <c r="I20" i="1"/>
  <c r="I34" i="1"/>
  <c r="J19" i="1"/>
  <c r="L19" i="1" s="1"/>
  <c r="M19" i="1" s="1"/>
  <c r="J17" i="1"/>
  <c r="L17" i="1" s="1"/>
  <c r="M17" i="1" s="1"/>
  <c r="J31" i="1"/>
  <c r="L31" i="1" s="1"/>
  <c r="M31" i="1" s="1"/>
  <c r="J34" i="1" l="1"/>
  <c r="L34" i="1" s="1"/>
  <c r="M34" i="1" s="1"/>
  <c r="I21" i="1"/>
  <c r="J20" i="1"/>
  <c r="L20" i="1" s="1"/>
  <c r="M20" i="1" s="1"/>
  <c r="I35" i="1"/>
  <c r="H48" i="1"/>
  <c r="I48" i="1" s="1"/>
  <c r="H49" i="1"/>
  <c r="I49" i="1" s="1"/>
  <c r="H47" i="1"/>
  <c r="I47" i="1" s="1"/>
  <c r="M42" i="2" s="1"/>
  <c r="K171" i="1" l="1"/>
  <c r="M171" i="1" s="1"/>
  <c r="N171" i="1" s="1"/>
  <c r="K85" i="1"/>
  <c r="K86" i="1"/>
  <c r="P12" i="1"/>
  <c r="Q12" i="1" s="1"/>
  <c r="R12" i="1" s="1"/>
  <c r="K173" i="1"/>
  <c r="M173" i="1" s="1"/>
  <c r="P11" i="1"/>
  <c r="S11" i="1" s="1"/>
  <c r="T11" i="1" s="1"/>
  <c r="K172" i="1"/>
  <c r="M172" i="1" s="1"/>
  <c r="H50" i="1"/>
  <c r="I50" i="1" s="1"/>
  <c r="M50" i="1" s="1"/>
  <c r="M47" i="1"/>
  <c r="P10" i="1"/>
  <c r="J35" i="1"/>
  <c r="L35" i="1" s="1"/>
  <c r="M35" i="1" s="1"/>
  <c r="I22" i="1"/>
  <c r="J21" i="1"/>
  <c r="L21" i="1" s="1"/>
  <c r="M21" i="1" s="1"/>
  <c r="I36" i="1"/>
  <c r="M49" i="1"/>
  <c r="M48" i="1"/>
  <c r="Q11" i="1" l="1"/>
  <c r="R11" i="1" s="1"/>
  <c r="S12" i="1"/>
  <c r="T12" i="1" s="1"/>
  <c r="K87" i="1"/>
  <c r="L42" i="2" s="1"/>
  <c r="K88" i="1" s="1" a="1"/>
  <c r="K88" i="1" s="1"/>
  <c r="N172" i="1"/>
  <c r="N173" i="1" s="1"/>
  <c r="P13" i="1"/>
  <c r="S13" i="1" s="1"/>
  <c r="T13" i="1" s="1"/>
  <c r="K174" i="1"/>
  <c r="M174" i="1" s="1"/>
  <c r="H51" i="1"/>
  <c r="I51" i="1" s="1"/>
  <c r="J36" i="1"/>
  <c r="L36" i="1" s="1"/>
  <c r="M36" i="1" s="1"/>
  <c r="S10" i="1"/>
  <c r="T10" i="1" s="1"/>
  <c r="Q10" i="1"/>
  <c r="R10" i="1" s="1"/>
  <c r="I23" i="1"/>
  <c r="I37" i="1"/>
  <c r="J22" i="1"/>
  <c r="L22" i="1" s="1"/>
  <c r="M22" i="1" s="1"/>
  <c r="M27" i="1"/>
  <c r="H57" i="1" s="1"/>
  <c r="I57" i="1" s="1"/>
  <c r="K181" i="1" s="1"/>
  <c r="M28" i="1"/>
  <c r="H58" i="1" s="1"/>
  <c r="I58" i="1" s="1"/>
  <c r="Q13" i="1" l="1"/>
  <c r="R13" i="1" s="1"/>
  <c r="K92" i="1"/>
  <c r="P82" i="1" s="1"/>
  <c r="P83" i="1" s="1"/>
  <c r="K89" i="1"/>
  <c r="L247" i="1"/>
  <c r="L150" i="1"/>
  <c r="L152" i="1" s="1"/>
  <c r="L156" i="1" s="1"/>
  <c r="L243" i="1"/>
  <c r="N174" i="1"/>
  <c r="H52" i="1"/>
  <c r="I52" i="1" s="1"/>
  <c r="K176" i="1" s="1"/>
  <c r="M176" i="1" s="1"/>
  <c r="M58" i="1"/>
  <c r="K182" i="1"/>
  <c r="P14" i="1"/>
  <c r="S14" i="1" s="1"/>
  <c r="T14" i="1" s="1"/>
  <c r="K175" i="1"/>
  <c r="M175" i="1" s="1"/>
  <c r="M51" i="1"/>
  <c r="J37" i="1"/>
  <c r="L37" i="1" s="1"/>
  <c r="M37" i="1" s="1"/>
  <c r="J23" i="1"/>
  <c r="L23" i="1" s="1"/>
  <c r="M23" i="1" s="1"/>
  <c r="I24" i="1"/>
  <c r="I38" i="1"/>
  <c r="M57" i="1"/>
  <c r="M52" i="1" l="1"/>
  <c r="N175" i="1"/>
  <c r="N176" i="1" s="1"/>
  <c r="P15" i="1"/>
  <c r="Q15" i="1" s="1"/>
  <c r="R15" i="1" s="1"/>
  <c r="Q14" i="1"/>
  <c r="R14" i="1" s="1"/>
  <c r="H53" i="1"/>
  <c r="I53" i="1" s="1"/>
  <c r="P16" i="1" s="1"/>
  <c r="J38" i="1"/>
  <c r="L38" i="1" s="1"/>
  <c r="M38" i="1" s="1"/>
  <c r="I25" i="1"/>
  <c r="J24" i="1"/>
  <c r="L24" i="1" s="1"/>
  <c r="M24" i="1" s="1"/>
  <c r="I39" i="1"/>
  <c r="S15" i="1" l="1"/>
  <c r="T15" i="1" s="1"/>
  <c r="H54" i="1"/>
  <c r="I54" i="1" s="1"/>
  <c r="K178" i="1" s="1"/>
  <c r="M178" i="1" s="1"/>
  <c r="M53" i="1"/>
  <c r="K177" i="1"/>
  <c r="M177" i="1" s="1"/>
  <c r="N177" i="1" s="1"/>
  <c r="N178" i="1" s="1"/>
  <c r="I40" i="1"/>
  <c r="I26" i="1"/>
  <c r="S16" i="1"/>
  <c r="T16" i="1" s="1"/>
  <c r="Q16" i="1"/>
  <c r="R16" i="1" s="1"/>
  <c r="J39" i="1"/>
  <c r="L39" i="1" s="1"/>
  <c r="M39" i="1" s="1"/>
  <c r="J25" i="1"/>
  <c r="L25" i="1" s="1"/>
  <c r="M25" i="1" s="1"/>
  <c r="P17" i="1"/>
  <c r="M54" i="1" l="1"/>
  <c r="J26" i="1"/>
  <c r="L26" i="1" s="1"/>
  <c r="M26" i="1" s="1"/>
  <c r="H55" i="1"/>
  <c r="I55" i="1" s="1"/>
  <c r="J40" i="1"/>
  <c r="L40" i="1" s="1"/>
  <c r="M40" i="1" s="1"/>
  <c r="S17" i="1"/>
  <c r="T17" i="1" s="1"/>
  <c r="Q17" i="1"/>
  <c r="R17" i="1" s="1"/>
  <c r="P18" i="1"/>
  <c r="M55" i="1" l="1"/>
  <c r="K179" i="1"/>
  <c r="M179" i="1" s="1"/>
  <c r="N179" i="1" s="1"/>
  <c r="M183" i="1" s="1"/>
  <c r="M184" i="1" s="1"/>
  <c r="H56" i="1"/>
  <c r="I56" i="1" s="1"/>
  <c r="K180" i="1" s="1"/>
  <c r="S18" i="1"/>
  <c r="T18" i="1" s="1"/>
  <c r="Q18" i="1"/>
  <c r="R18" i="1" s="1"/>
  <c r="M56" i="1" l="1"/>
  <c r="O60" i="1" s="1"/>
  <c r="P19" i="1"/>
  <c r="I60" i="1"/>
  <c r="I61" i="1"/>
  <c r="S216" i="1" s="1"/>
  <c r="O218" i="1" s="1"/>
  <c r="M166" i="1" l="1"/>
  <c r="L167" i="1" s="1"/>
  <c r="R1" i="2"/>
  <c r="S124" i="1"/>
  <c r="S126" i="1" s="1"/>
  <c r="S127" i="1" s="1"/>
  <c r="S142" i="1"/>
  <c r="S145" i="1" s="1"/>
  <c r="L248" i="1"/>
  <c r="L137" i="1"/>
  <c r="L136" i="1" s="1"/>
  <c r="L141" i="1" s="1"/>
  <c r="K142" i="1" s="1"/>
  <c r="O61" i="1"/>
  <c r="L242" i="1"/>
  <c r="S19" i="1"/>
  <c r="T19" i="1" s="1"/>
  <c r="Q19" i="1"/>
  <c r="R19" i="1" s="1"/>
  <c r="E176" i="1" l="1" a="1"/>
  <c r="E176" i="1" s="1"/>
  <c r="D177" i="1" s="1"/>
  <c r="S158" i="1"/>
  <c r="S159" i="1" s="1"/>
  <c r="R160" i="1" s="1"/>
  <c r="L185" i="1"/>
  <c r="L199" i="1" s="1"/>
  <c r="S238" i="1"/>
  <c r="S235" i="1"/>
  <c r="S237" i="1" s="1"/>
  <c r="L240" i="1"/>
  <c r="L241" i="1"/>
  <c r="L155" i="1"/>
  <c r="K158" i="1" s="1"/>
  <c r="S153" i="1"/>
  <c r="S154" i="1" s="1"/>
  <c r="S156" i="1" s="1"/>
  <c r="S157" i="1" s="1"/>
  <c r="S146" i="1"/>
  <c r="R148" i="1" s="1"/>
  <c r="O149" i="1" s="1"/>
  <c r="M190" i="1" l="1" a="1"/>
  <c r="M190" i="1" s="1"/>
  <c r="M193" i="1" a="1"/>
  <c r="M193" i="1" s="1"/>
  <c r="M192" i="1" a="1"/>
  <c r="M192" i="1" s="1"/>
  <c r="M194" i="1" a="1"/>
  <c r="M194" i="1" s="1"/>
  <c r="M195" i="1" a="1"/>
  <c r="M195" i="1" s="1"/>
  <c r="M196" i="1" a="1"/>
  <c r="M196" i="1" s="1"/>
  <c r="M186" i="1"/>
  <c r="M188" i="1" s="1"/>
  <c r="O239" i="1"/>
  <c r="L245" i="1"/>
  <c r="S215" i="1" s="1"/>
  <c r="K159" i="1"/>
  <c r="K160" i="1"/>
  <c r="R147" i="1"/>
  <c r="L191" i="1" l="1"/>
  <c r="L197" i="1"/>
  <c r="M198" i="1" s="1"/>
  <c r="M187" i="1"/>
  <c r="G249" i="1"/>
  <c r="G24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<sst xmlns="http://schemas.openxmlformats.org/spreadsheetml/2006/main" count="1241" uniqueCount="677">
  <si>
    <t>Datos de entrada</t>
  </si>
  <si>
    <t>Diámetro del tanque</t>
  </si>
  <si>
    <t>Valor</t>
  </si>
  <si>
    <t>Unidades (API650)</t>
  </si>
  <si>
    <t>Altura de la envolvente</t>
  </si>
  <si>
    <t>Símbolo</t>
  </si>
  <si>
    <t>D</t>
  </si>
  <si>
    <t>H</t>
  </si>
  <si>
    <t>t</t>
  </si>
  <si>
    <t>Material Virolas</t>
  </si>
  <si>
    <t>m</t>
  </si>
  <si>
    <t>mm</t>
  </si>
  <si>
    <t>Corrosión Admisible</t>
  </si>
  <si>
    <t>CA</t>
  </si>
  <si>
    <t>Gravedad específica del fluido</t>
  </si>
  <si>
    <t>G</t>
  </si>
  <si>
    <t>Parámetros Geométricos</t>
  </si>
  <si>
    <t>Parámetros Físicos</t>
  </si>
  <si>
    <t>Parámetros de operación</t>
  </si>
  <si>
    <t>Mpa</t>
  </si>
  <si>
    <t>(Mpa)</t>
  </si>
  <si>
    <t>A283M grC</t>
  </si>
  <si>
    <t>A285M gr C</t>
  </si>
  <si>
    <t>A131M gr A, B</t>
  </si>
  <si>
    <t>A36M</t>
  </si>
  <si>
    <t>A131M EH36</t>
  </si>
  <si>
    <t>A573 gr 400</t>
  </si>
  <si>
    <t>A573M gr 450</t>
  </si>
  <si>
    <t>a573m GR 485</t>
  </si>
  <si>
    <t>A516M gr 380</t>
  </si>
  <si>
    <t>A516M gr 450</t>
  </si>
  <si>
    <t>A516M gr 415</t>
  </si>
  <si>
    <t>A516M gr 485</t>
  </si>
  <si>
    <t>A662M grB</t>
  </si>
  <si>
    <t>A662M grC</t>
  </si>
  <si>
    <t>A737M gr B</t>
  </si>
  <si>
    <t>A841M Clase 1, Gr A,B</t>
  </si>
  <si>
    <t>A841M Clase 2, Gr A,B</t>
  </si>
  <si>
    <t>A537M gr1 t&lt;=65</t>
  </si>
  <si>
    <t>A537M gr1 65&lt;=t&lt;=100</t>
  </si>
  <si>
    <t>A537M gr2 65&lt;=t&lt;=100</t>
  </si>
  <si>
    <t>A537M gr2 t&lt;=65</t>
  </si>
  <si>
    <t>A633M gr C, D t&lt;=65</t>
  </si>
  <si>
    <t>A633M gr C, D 65&lt;=t&lt;=100</t>
  </si>
  <si>
    <t>Tensión de fluencia Yield</t>
  </si>
  <si>
    <t>Tensión de rotura</t>
  </si>
  <si>
    <t>Tensión de diseño Producto</t>
  </si>
  <si>
    <t>Sy</t>
  </si>
  <si>
    <t>Su</t>
  </si>
  <si>
    <t>Sd</t>
  </si>
  <si>
    <t>St</t>
  </si>
  <si>
    <t>Tensión de prueba hidrostática</t>
  </si>
  <si>
    <t>Plate</t>
  </si>
  <si>
    <t>Specification</t>
  </si>
  <si>
    <t>Minimum</t>
  </si>
  <si>
    <t>Yield Strength Sy</t>
  </si>
  <si>
    <t>Tensile Strength</t>
  </si>
  <si>
    <t>Product</t>
  </si>
  <si>
    <t>Design Stress Sd</t>
  </si>
  <si>
    <t>Hydrostatic</t>
  </si>
  <si>
    <t>Test Stress St</t>
  </si>
  <si>
    <t>Permissible Plate Materials</t>
  </si>
  <si>
    <t>Allowable Stresses (SI)</t>
  </si>
  <si>
    <t>Referencias (no modificar)</t>
  </si>
  <si>
    <t>LA MODIFICACIÓN DE ESTA HOJA PUEDE CONLLEVAR LA ROTURA DE CÁLCULO PRINCIPAL</t>
  </si>
  <si>
    <t>Altura de la virola superior</t>
  </si>
  <si>
    <t>h</t>
  </si>
  <si>
    <t>NºVirola</t>
  </si>
  <si>
    <t>tmin</t>
  </si>
  <si>
    <t>Virolas necesarias</t>
  </si>
  <si>
    <t>tamaño virola inferior</t>
  </si>
  <si>
    <t>Verificar</t>
  </si>
  <si>
    <t>Espesor de virola por Hydrostatic Test</t>
  </si>
  <si>
    <t>Espesor final de diseño</t>
  </si>
  <si>
    <t>Dimensionamiento de Virolas</t>
  </si>
  <si>
    <t>El cálculo es correcto?</t>
  </si>
  <si>
    <t>Espesor virolas por Product Design</t>
  </si>
  <si>
    <t>nºvirolas por cálculo</t>
  </si>
  <si>
    <t>Parámetro</t>
  </si>
  <si>
    <t>nºvirolas tamaño estándar</t>
  </si>
  <si>
    <t>td(mm)</t>
  </si>
  <si>
    <t>H virola(mm)</t>
  </si>
  <si>
    <t>H(m)</t>
  </si>
  <si>
    <t>td (mm)</t>
  </si>
  <si>
    <t>tt (mm)</t>
  </si>
  <si>
    <t>t mín(mm)</t>
  </si>
  <si>
    <t>Ratio de tensiones</t>
  </si>
  <si>
    <t>ratio</t>
  </si>
  <si>
    <t>t(mm)</t>
  </si>
  <si>
    <t>Material Techo</t>
  </si>
  <si>
    <t>Material Suelo</t>
  </si>
  <si>
    <t>º</t>
  </si>
  <si>
    <t>Peso específico del acero</t>
  </si>
  <si>
    <t>γ_acero</t>
  </si>
  <si>
    <t>kg/m^3</t>
  </si>
  <si>
    <t>Presión externa</t>
  </si>
  <si>
    <t>Pe</t>
  </si>
  <si>
    <t>atm</t>
  </si>
  <si>
    <t>kg/cm^2</t>
  </si>
  <si>
    <t>Temperatura de diseño</t>
  </si>
  <si>
    <t>T</t>
  </si>
  <si>
    <t>ºC</t>
  </si>
  <si>
    <t>Nieve balanceada</t>
  </si>
  <si>
    <t>Sb</t>
  </si>
  <si>
    <t>kg/m^2</t>
  </si>
  <si>
    <t>Nieve desbalanceada</t>
  </si>
  <si>
    <t>Fp</t>
  </si>
  <si>
    <t>Ángulo del techo</t>
  </si>
  <si>
    <t>θ</t>
  </si>
  <si>
    <t>rad</t>
  </si>
  <si>
    <t>Tipo de sujeción</t>
  </si>
  <si>
    <t>Autoanclado</t>
  </si>
  <si>
    <t>Cálculos Fisico / Geométricos</t>
  </si>
  <si>
    <t>Valores Calculados</t>
  </si>
  <si>
    <t>Simbolo</t>
  </si>
  <si>
    <t>Unidades</t>
  </si>
  <si>
    <t>Peso del techo para el cálculo de espesor</t>
  </si>
  <si>
    <t>DL</t>
  </si>
  <si>
    <t>Kg</t>
  </si>
  <si>
    <t>Peso del techo por unidad de área para el cálculo de espesor</t>
  </si>
  <si>
    <t>DL/m2</t>
  </si>
  <si>
    <t>Generatriz del techo</t>
  </si>
  <si>
    <t>Longitud de la Normal al techo</t>
  </si>
  <si>
    <t>R2</t>
  </si>
  <si>
    <t>tr</t>
  </si>
  <si>
    <t>Espesor supuesto de las chapas del techo para cálculo</t>
  </si>
  <si>
    <t>Cálculo de espesor comercial de techo</t>
  </si>
  <si>
    <t>Ángulo aprobado por API650?</t>
  </si>
  <si>
    <t>Módulo de elasticidad a la temperatura de diseño</t>
  </si>
  <si>
    <t>E</t>
  </si>
  <si>
    <t>Espesor por primera ecuación:</t>
  </si>
  <si>
    <t>Carga de gravedad (I) balanceada</t>
  </si>
  <si>
    <t>Carga de gravedad (I) balanceada kpa</t>
  </si>
  <si>
    <t>kpa</t>
  </si>
  <si>
    <t>Carga de gravedad (II) balanceada</t>
  </si>
  <si>
    <t>Carga de gravedad (II) balanceada kpa</t>
  </si>
  <si>
    <t>Carga mayor</t>
  </si>
  <si>
    <t>Valor de B</t>
  </si>
  <si>
    <t>B</t>
  </si>
  <si>
    <t>Espesor por fórmula 1</t>
  </si>
  <si>
    <t>Es mayor o igual que 5 mm?</t>
  </si>
  <si>
    <t>Espesor por segunda ecuación:</t>
  </si>
  <si>
    <t>Carga de gravedad (I) desbalanceada</t>
  </si>
  <si>
    <t>Carga de gravedad (I) desbalanceada kpa</t>
  </si>
  <si>
    <t>Carga de gravedad (II) desbalanceada</t>
  </si>
  <si>
    <t>Carga de gravedad (II) desbalanceada kpa</t>
  </si>
  <si>
    <t>Valor de U</t>
  </si>
  <si>
    <t>U</t>
  </si>
  <si>
    <t>Espesor por fórmula 2</t>
  </si>
  <si>
    <t>Espesor final calculado+CA</t>
  </si>
  <si>
    <t>Espesor final comercial</t>
  </si>
  <si>
    <t>Comprobación de área (con espesor ya definido)</t>
  </si>
  <si>
    <t>Peso real del techo</t>
  </si>
  <si>
    <t>kg</t>
  </si>
  <si>
    <t>Peso real del techo por unidad de area</t>
  </si>
  <si>
    <t>Cargas con espesor calculado</t>
  </si>
  <si>
    <t>Carga viva de techo</t>
  </si>
  <si>
    <t>Lr</t>
  </si>
  <si>
    <t>Carga de gravedad (I) carga de techo</t>
  </si>
  <si>
    <t>Carga de gravedad (I) carga de techo kpa</t>
  </si>
  <si>
    <t>Carga de gravedad (II) carga de techo</t>
  </si>
  <si>
    <t>Carga de gravedad (II) carga de techo kpa</t>
  </si>
  <si>
    <t>Mayor de todas las combinacioens de carga</t>
  </si>
  <si>
    <t>p</t>
  </si>
  <si>
    <t>Límite elástico del material de la unión</t>
  </si>
  <si>
    <t>Fy</t>
  </si>
  <si>
    <t>Límite elastico reducido</t>
  </si>
  <si>
    <t>Fa</t>
  </si>
  <si>
    <t>Área requerida</t>
  </si>
  <si>
    <t>Ar</t>
  </si>
  <si>
    <t>mm^2</t>
  </si>
  <si>
    <t>Área anillo</t>
  </si>
  <si>
    <t>Área envolvente</t>
  </si>
  <si>
    <t>Área techo</t>
  </si>
  <si>
    <t>Área total</t>
  </si>
  <si>
    <t>Se cumple el requisito del área?</t>
  </si>
  <si>
    <t>Velocidad del viento</t>
  </si>
  <si>
    <t>V</t>
  </si>
  <si>
    <t>km/h</t>
  </si>
  <si>
    <t>Pi</t>
  </si>
  <si>
    <t>kN/m^2</t>
  </si>
  <si>
    <t>Peso de cada virola</t>
  </si>
  <si>
    <t>Peso</t>
  </si>
  <si>
    <t>Unidad</t>
  </si>
  <si>
    <t>Peso total de la envolvente</t>
  </si>
  <si>
    <t>Cálculos para cargas de viento</t>
  </si>
  <si>
    <t>Pws</t>
  </si>
  <si>
    <t>Pwr</t>
  </si>
  <si>
    <t>Momento provocado por el viento</t>
  </si>
  <si>
    <t>Mws</t>
  </si>
  <si>
    <t>kN*m</t>
  </si>
  <si>
    <t>Momento resistente del tanque</t>
  </si>
  <si>
    <t>MR</t>
  </si>
  <si>
    <t>El momento resistente es suficiente?</t>
  </si>
  <si>
    <t>Verificar desigualdadas (sólo techos autosoportados sin anclar)</t>
  </si>
  <si>
    <t>Coeficiente de viento horizontal</t>
  </si>
  <si>
    <t>Cfh</t>
  </si>
  <si>
    <t>Coeficiente de viento vertical</t>
  </si>
  <si>
    <t>Cfv</t>
  </si>
  <si>
    <t>Altura de aplicación de la fuerza horizontal</t>
  </si>
  <si>
    <t>Lws</t>
  </si>
  <si>
    <t>Fuerza vertical sobre la envolvnete</t>
  </si>
  <si>
    <t>Fws</t>
  </si>
  <si>
    <t>kN</t>
  </si>
  <si>
    <t>Altura de aplicación de la fuerza vertical</t>
  </si>
  <si>
    <t>Lwr</t>
  </si>
  <si>
    <t>Fuerza vertical sobre el techo</t>
  </si>
  <si>
    <t>Fwr</t>
  </si>
  <si>
    <t>tb</t>
  </si>
  <si>
    <t>Límite elástico del material del suelo</t>
  </si>
  <si>
    <t>Fby</t>
  </si>
  <si>
    <t>Peso del contenido (G=0,7)</t>
  </si>
  <si>
    <t>wL</t>
  </si>
  <si>
    <t>kN/m</t>
  </si>
  <si>
    <t>Momento en la junta entre envolvente y fondo por presión interna</t>
  </si>
  <si>
    <t>Mpi</t>
  </si>
  <si>
    <t>Momento producido por el viento por presión verticla y horizontal</t>
  </si>
  <si>
    <t>MW</t>
  </si>
  <si>
    <t>Momento sobre la unión de la envolvente con el suelo debido al peso de la envlvente y el techo</t>
  </si>
  <si>
    <t>MDL</t>
  </si>
  <si>
    <t>Momento en la unión de la envolvente con el suelo debido al líquido en el interior del tanque</t>
  </si>
  <si>
    <t>MF</t>
  </si>
  <si>
    <t>Momento en la unión de la envolvente con el suelo debido al peso nominal del techo y estructuras</t>
  </si>
  <si>
    <t>MDLR</t>
  </si>
  <si>
    <t>Desigualdad 1</t>
  </si>
  <si>
    <t>Desigualdad 2</t>
  </si>
  <si>
    <t>Desigualdad 3</t>
  </si>
  <si>
    <t>Cálculo de anclajes</t>
  </si>
  <si>
    <t>Tensión admisible en el perno</t>
  </si>
  <si>
    <t>Métrica del perno</t>
  </si>
  <si>
    <t>M 14</t>
  </si>
  <si>
    <t>Excentricidad</t>
  </si>
  <si>
    <t>Espacio</t>
  </si>
  <si>
    <t>Número recomendado</t>
  </si>
  <si>
    <t>Área del perno</t>
  </si>
  <si>
    <t>cm^2</t>
  </si>
  <si>
    <t>Diámetro del círculo de pernos</t>
  </si>
  <si>
    <t>Conversión unidades Mws</t>
  </si>
  <si>
    <t>kg·cm</t>
  </si>
  <si>
    <t>Conversión unidades tensión</t>
  </si>
  <si>
    <t>kg/cm2</t>
  </si>
  <si>
    <t>Conversión de longitud diámetro pernos</t>
  </si>
  <si>
    <t>cm</t>
  </si>
  <si>
    <t>Área requerida por el perno</t>
  </si>
  <si>
    <t>El área del perno es mayor que la requerida?</t>
  </si>
  <si>
    <t>Cuánto mayor?</t>
  </si>
  <si>
    <t>d</t>
  </si>
  <si>
    <t>Tensión adherencia perno horimgón</t>
  </si>
  <si>
    <t>σa</t>
  </si>
  <si>
    <t>Especifica otro valor de Pwr si el techo es estructural</t>
  </si>
  <si>
    <t>Carga neta de levantamiento por viento</t>
  </si>
  <si>
    <t>N</t>
  </si>
  <si>
    <t>Carga en cada perno</t>
  </si>
  <si>
    <t>Kg/cm^2</t>
  </si>
  <si>
    <t>Conversión de unidades para T</t>
  </si>
  <si>
    <t>Longitud del perno</t>
  </si>
  <si>
    <t>L</t>
  </si>
  <si>
    <t>Perímetro de la circunferencia de pernos</t>
  </si>
  <si>
    <t>Perímetro</t>
  </si>
  <si>
    <t>Separación entre pernos</t>
  </si>
  <si>
    <t>Separación</t>
  </si>
  <si>
    <t>Cumple la separación de 3m?</t>
  </si>
  <si>
    <t>Diámetro del perno</t>
  </si>
  <si>
    <r>
      <t>"A</t>
    </r>
    <r>
      <rPr>
        <b/>
        <vertAlign val="subscript"/>
        <sz val="10"/>
        <color rgb="FFFFFFFF"/>
        <rFont val="Montserrat"/>
      </rPr>
      <t>p</t>
    </r>
    <r>
      <rPr>
        <b/>
        <sz val="10"/>
        <color rgb="FFFFFFFF"/>
        <rFont val="Montserrat"/>
      </rPr>
      <t>" Área del núcleo el perno (cm</t>
    </r>
    <r>
      <rPr>
        <b/>
        <vertAlign val="superscript"/>
        <sz val="10"/>
        <color rgb="FFFFFFFF"/>
        <rFont val="Montserrat"/>
      </rPr>
      <t>2</t>
    </r>
    <r>
      <rPr>
        <b/>
        <sz val="10"/>
        <color rgb="FFFFFFFF"/>
        <rFont val="Montserrat"/>
      </rPr>
      <t>)</t>
    </r>
  </si>
  <si>
    <t>Ver figura anterior con los detalles de “clearance” y “excentricidad”</t>
  </si>
  <si>
    <t>"N" Número de pernos recomendado (Ud)</t>
  </si>
  <si>
    <t>Pulgadas</t>
  </si>
  <si>
    <t>Métrica</t>
  </si>
  <si>
    <t>Clearance (mm)</t>
  </si>
  <si>
    <t>Excentricidad (mm)</t>
  </si>
  <si>
    <t>comercial</t>
  </si>
  <si>
    <t>1/2"</t>
  </si>
  <si>
    <t>5/8"</t>
  </si>
  <si>
    <t>M 16</t>
  </si>
  <si>
    <t>3/4"</t>
  </si>
  <si>
    <t>M 20</t>
  </si>
  <si>
    <t>7/8"</t>
  </si>
  <si>
    <t>M 24</t>
  </si>
  <si>
    <t>1"</t>
  </si>
  <si>
    <t>M 27</t>
  </si>
  <si>
    <t>1+1/8"</t>
  </si>
  <si>
    <t>M 30</t>
  </si>
  <si>
    <t>1+1/4"</t>
  </si>
  <si>
    <t>M 33</t>
  </si>
  <si>
    <t>1+3/8"</t>
  </si>
  <si>
    <t>M 36</t>
  </si>
  <si>
    <t>1+1/2"</t>
  </si>
  <si>
    <t>M 39</t>
  </si>
  <si>
    <t>1+5/8"</t>
  </si>
  <si>
    <t>M 42</t>
  </si>
  <si>
    <t>1+3/4"</t>
  </si>
  <si>
    <t>M 45</t>
  </si>
  <si>
    <t>1+7/8"</t>
  </si>
  <si>
    <t>M 48</t>
  </si>
  <si>
    <t>2"</t>
  </si>
  <si>
    <t>M 52</t>
  </si>
  <si>
    <t>2+1/4"</t>
  </si>
  <si>
    <t>M 56</t>
  </si>
  <si>
    <t>2+1/2"</t>
  </si>
  <si>
    <t>M 64</t>
  </si>
  <si>
    <t>2+3/4"</t>
  </si>
  <si>
    <t>M 70</t>
  </si>
  <si>
    <t>3"</t>
  </si>
  <si>
    <t>M 76</t>
  </si>
  <si>
    <t>Peso Suelo</t>
  </si>
  <si>
    <t>Peso total del tanque</t>
  </si>
  <si>
    <t>Espesor chapas del suelo</t>
  </si>
  <si>
    <t>Presión Interna</t>
  </si>
  <si>
    <t>Factor de presión externa</t>
  </si>
  <si>
    <t>Peso total del tanque (N)</t>
  </si>
  <si>
    <t>VIGAS CONTRAVIENTO</t>
  </si>
  <si>
    <t>CÁLCULO SÍSMICO</t>
  </si>
  <si>
    <t>Parámetros Dinámicos</t>
  </si>
  <si>
    <t>Aceleración sísmica vertical</t>
  </si>
  <si>
    <t>Av</t>
  </si>
  <si>
    <t>g</t>
  </si>
  <si>
    <t>Aceleración pico de la ubicación</t>
  </si>
  <si>
    <t>Sp</t>
  </si>
  <si>
    <t>SUG</t>
  </si>
  <si>
    <t>II</t>
  </si>
  <si>
    <t>Clase del terreno</t>
  </si>
  <si>
    <t>C</t>
  </si>
  <si>
    <t>Localización</t>
  </si>
  <si>
    <t>EEUU</t>
  </si>
  <si>
    <t xml:space="preserve">Periodo de transición regional para largos periodos de tiempo </t>
  </si>
  <si>
    <t>TL</t>
  </si>
  <si>
    <t>s</t>
  </si>
  <si>
    <t>s/n</t>
  </si>
  <si>
    <t>SI</t>
  </si>
  <si>
    <t>NO</t>
  </si>
  <si>
    <t>I</t>
  </si>
  <si>
    <t>III</t>
  </si>
  <si>
    <t>SITE CLASS</t>
  </si>
  <si>
    <t>A</t>
  </si>
  <si>
    <t>F</t>
  </si>
  <si>
    <t>Sujeción</t>
  </si>
  <si>
    <t>Mecánicamente anclado</t>
  </si>
  <si>
    <t>Value of Fa</t>
  </si>
  <si>
    <t>Site class</t>
  </si>
  <si>
    <t>Mapped MCER Spectral Response Accelerations at Shor Periods</t>
  </si>
  <si>
    <t>Ss&lt;=0,25</t>
  </si>
  <si>
    <t>Ss=0,5</t>
  </si>
  <si>
    <t>Ss=0,75</t>
  </si>
  <si>
    <t>Ss=1</t>
  </si>
  <si>
    <t>Ss&gt;=1,25</t>
  </si>
  <si>
    <t>Requiere estudio</t>
  </si>
  <si>
    <t>Value of Fv</t>
  </si>
  <si>
    <t>Mapped MCER Spectral Response Accelerations at 1sec Periods</t>
  </si>
  <si>
    <t>S1&lt;=0,1</t>
  </si>
  <si>
    <t>S1=0,20</t>
  </si>
  <si>
    <t>S1=0,3</t>
  </si>
  <si>
    <t>S1=0,4</t>
  </si>
  <si>
    <t>S1&gt;=0,5</t>
  </si>
  <si>
    <t>Value of SDS</t>
  </si>
  <si>
    <t>SDS&lt;0,33g</t>
  </si>
  <si>
    <t>0,7δs (recomendado pero no requerido)</t>
  </si>
  <si>
    <t xml:space="preserve">δs requerido, salvo que tengamos un contenedor secundario o el tanque esté diseñado para contener derrames </t>
  </si>
  <si>
    <t>SDS&gt;=0,33g</t>
  </si>
  <si>
    <t>0,7δs requerido, Salvo que tengamos un contenedor secundario o el tanque esté diseñado para contener derrames</t>
  </si>
  <si>
    <t>Wrr</t>
  </si>
  <si>
    <t>Comprobación 1. Momento de vuelco</t>
  </si>
  <si>
    <t>Valores</t>
  </si>
  <si>
    <t>Gravedad específica sísmica</t>
  </si>
  <si>
    <t>Ge</t>
  </si>
  <si>
    <t>Factor Q</t>
  </si>
  <si>
    <t>Q</t>
  </si>
  <si>
    <t>Factor de importancia</t>
  </si>
  <si>
    <t>Factores de modificación de respuesta</t>
  </si>
  <si>
    <t>Rwi</t>
  </si>
  <si>
    <t>Rwc</t>
  </si>
  <si>
    <t>Parámetro de aceleración de respuesta espectral, amortiguada al 5% del MCER cartografiado en periodos cortos (0,2seg).</t>
  </si>
  <si>
    <t>Ss</t>
  </si>
  <si>
    <t xml:space="preserve">Parámetro de aceleración de respuesta espectral, amortiguada al 5% del MCER cartografiado en cero segundos (referido a picos de aceleración del suelo). </t>
  </si>
  <si>
    <t>s0</t>
  </si>
  <si>
    <t>Parámetro de aceleración de respuesta espectral, amortiguada al 5% del MCER cartografiado en periodos de 1 segundo.</t>
  </si>
  <si>
    <t>S1</t>
  </si>
  <si>
    <t>Coeficiente de aceleración base del sitio</t>
  </si>
  <si>
    <t>Coeficiente de velocidad base del sitio</t>
  </si>
  <si>
    <t>Fv</t>
  </si>
  <si>
    <t xml:space="preserve">Parámetro de aceleración de respuesta espectral, amortiguada al 5% basado en ASCE 7 (0,2seg) </t>
  </si>
  <si>
    <t>SDS</t>
  </si>
  <si>
    <t xml:space="preserve">Parámetro de aceleración de respuesta espectral, amortiguada al 5% basado en ASCE 7 en periodos de 1 segundo </t>
  </si>
  <si>
    <t>SD1</t>
  </si>
  <si>
    <t>Aceleración impulsiva</t>
  </si>
  <si>
    <t>Ai</t>
  </si>
  <si>
    <t>Es Ai&gt;=0,007 y S1&gt;=0,6?</t>
  </si>
  <si>
    <t>Si lo son, Mrw y Vi se actualizará con la aceleración inferior</t>
  </si>
  <si>
    <t>Periodo S</t>
  </si>
  <si>
    <t>Ts</t>
  </si>
  <si>
    <t>Periodo convectivo</t>
  </si>
  <si>
    <t>Tc</t>
  </si>
  <si>
    <t>Coeficiente del periodo convectivo</t>
  </si>
  <si>
    <t>K</t>
  </si>
  <si>
    <t>Aceleración convectiva</t>
  </si>
  <si>
    <t>Ac</t>
  </si>
  <si>
    <t>Peso efectivo impulsivo</t>
  </si>
  <si>
    <t>Wi</t>
  </si>
  <si>
    <t>Peso efectivo convectivo</t>
  </si>
  <si>
    <t>Wc</t>
  </si>
  <si>
    <t>Centro de acción impulsivo</t>
  </si>
  <si>
    <t>Xi</t>
  </si>
  <si>
    <t>Centro de acción convectivo</t>
  </si>
  <si>
    <t>Xc</t>
  </si>
  <si>
    <t>Momento total de vuelco</t>
  </si>
  <si>
    <t>Mrw</t>
  </si>
  <si>
    <t>Nm</t>
  </si>
  <si>
    <t>Peso de envolvente y techo actuando en la base</t>
  </si>
  <si>
    <t>wt</t>
  </si>
  <si>
    <t>N/m</t>
  </si>
  <si>
    <t>Carga de elevación por presión interna</t>
  </si>
  <si>
    <t>wint</t>
  </si>
  <si>
    <t>Fuerza resistente al levantamiento</t>
  </si>
  <si>
    <t>wa</t>
  </si>
  <si>
    <t>201,1HDGe</t>
  </si>
  <si>
    <t xml:space="preserve">Factor de anclaje </t>
  </si>
  <si>
    <t>J</t>
  </si>
  <si>
    <t>Chapas anulares menores de 3,5%D?</t>
  </si>
  <si>
    <t>Chapa anular menor o igual que primera virola?</t>
  </si>
  <si>
    <t>Comprobación 2. Tensiones en la base</t>
  </si>
  <si>
    <t>Tensiones Producidas en la base</t>
  </si>
  <si>
    <t>σc</t>
  </si>
  <si>
    <t>Tensiones Máximas admisibles</t>
  </si>
  <si>
    <t>Fc</t>
  </si>
  <si>
    <t>0,5*Mínima tensión en la virola inferior</t>
  </si>
  <si>
    <t>Fty</t>
  </si>
  <si>
    <t>Comprobación 3. Cortante en la base</t>
  </si>
  <si>
    <t>Peso del techo más nieve desbalanceada</t>
  </si>
  <si>
    <t>Wr</t>
  </si>
  <si>
    <t>Fricción con el terreno</t>
  </si>
  <si>
    <t>un</t>
  </si>
  <si>
    <t>Cortante por sismo impulsiva</t>
  </si>
  <si>
    <t>Vi</t>
  </si>
  <si>
    <t>Cortante por sismo convectiva</t>
  </si>
  <si>
    <t>Vc</t>
  </si>
  <si>
    <t>Cortante resultante</t>
  </si>
  <si>
    <t>Fuerza de fricción</t>
  </si>
  <si>
    <t>Vs</t>
  </si>
  <si>
    <t>Comprobación 4. Altura de Freeboard</t>
  </si>
  <si>
    <t>Se requiere Freeboard?</t>
  </si>
  <si>
    <t>Factor Af</t>
  </si>
  <si>
    <t>Af</t>
  </si>
  <si>
    <t>Altura de la ola</t>
  </si>
  <si>
    <t>δs</t>
  </si>
  <si>
    <t>70% Freeboard</t>
  </si>
  <si>
    <t>0,7δs</t>
  </si>
  <si>
    <t>Peso del techo corroído</t>
  </si>
  <si>
    <t>Wrc</t>
  </si>
  <si>
    <t>Ws</t>
  </si>
  <si>
    <t>Wf</t>
  </si>
  <si>
    <t>Espesor tras verificar condición</t>
  </si>
  <si>
    <t>m^3</t>
  </si>
  <si>
    <t>Peso del contenido</t>
  </si>
  <si>
    <t>Densidad del fluido</t>
  </si>
  <si>
    <t>ro</t>
  </si>
  <si>
    <t>N/m^3</t>
  </si>
  <si>
    <t>Altura del techo</t>
  </si>
  <si>
    <t>ht</t>
  </si>
  <si>
    <t>Altura centro de gravedad de la envolvente</t>
  </si>
  <si>
    <t>he</t>
  </si>
  <si>
    <t>Altura centro de gravedad del techo</t>
  </si>
  <si>
    <t>hr</t>
  </si>
  <si>
    <t>kg/m2</t>
  </si>
  <si>
    <t xml:space="preserve">tcomercial </t>
  </si>
  <si>
    <t>ud</t>
  </si>
  <si>
    <t>t comercial virola superior</t>
  </si>
  <si>
    <t>t comercial virola inferior</t>
  </si>
  <si>
    <t>EL TANQUE TENDRÁ UN VOLUMEN DE</t>
  </si>
  <si>
    <t>litros</t>
  </si>
  <si>
    <t>CÁLCULO DE ESTABILIDAD POR VIENTO</t>
  </si>
  <si>
    <t>Presión vertical en el techo</t>
  </si>
  <si>
    <t>Conversión Tensión perno-hormigón</t>
  </si>
  <si>
    <t>Cálculo de viga contraviento en cabeza</t>
  </si>
  <si>
    <t>Sy del material de la envolvente y anillo</t>
  </si>
  <si>
    <t>Presión de diseño del viento</t>
  </si>
  <si>
    <t>Pwv</t>
  </si>
  <si>
    <t>Presión del viento más arrastre</t>
  </si>
  <si>
    <t>Pwd</t>
  </si>
  <si>
    <t>Módulo resistente mínimo</t>
  </si>
  <si>
    <t>Zreq</t>
  </si>
  <si>
    <t>cm^3</t>
  </si>
  <si>
    <t>Tanque mayor de 61 metros?</t>
  </si>
  <si>
    <t xml:space="preserve">Módulo de elasticidad de la viga </t>
  </si>
  <si>
    <t>Momento inercia requerido</t>
  </si>
  <si>
    <t>Ireq</t>
  </si>
  <si>
    <t>cm^4</t>
  </si>
  <si>
    <t>Detalle d. Two Angle150x100x10</t>
  </si>
  <si>
    <t>Z perfil</t>
  </si>
  <si>
    <t>Zperfil</t>
  </si>
  <si>
    <t>El perfil seleccionado cumple?</t>
  </si>
  <si>
    <t>Lado mayor</t>
  </si>
  <si>
    <t>l1</t>
  </si>
  <si>
    <t>Lado menor</t>
  </si>
  <si>
    <t>l2</t>
  </si>
  <si>
    <t>Espesor</t>
  </si>
  <si>
    <t>Distancia requerida superior</t>
  </si>
  <si>
    <t>d1</t>
  </si>
  <si>
    <t>Distancia requerida inferior</t>
  </si>
  <si>
    <t>d2</t>
  </si>
  <si>
    <t>Se necesitan soportes adicionales?</t>
  </si>
  <si>
    <t>Cada cuantos metros como mínimo?</t>
  </si>
  <si>
    <t>ds</t>
  </si>
  <si>
    <t>Cálculo de viga intermedia</t>
  </si>
  <si>
    <t>Máxima altura sin rigidizar</t>
  </si>
  <si>
    <t>H1</t>
  </si>
  <si>
    <t>Necesitamos viga intermedia?</t>
  </si>
  <si>
    <t>Altura de envolvente transfromada</t>
  </si>
  <si>
    <t>Nºvirola</t>
  </si>
  <si>
    <t>W(mm)</t>
  </si>
  <si>
    <t>tactual(mm)</t>
  </si>
  <si>
    <t>tuniform(mm)</t>
  </si>
  <si>
    <t>Wtr(mm)</t>
  </si>
  <si>
    <t>Hvirola(mm)</t>
  </si>
  <si>
    <t>Sumatorio de envolventes transformadas</t>
  </si>
  <si>
    <t>Htransform</t>
  </si>
  <si>
    <t>Sumatorio en m</t>
  </si>
  <si>
    <t>Comprobación adicional</t>
  </si>
  <si>
    <t>Posición para viga intermedia (transformada)</t>
  </si>
  <si>
    <t>Hviga</t>
  </si>
  <si>
    <t>Posición transformada en mm</t>
  </si>
  <si>
    <t>Hviga(mm)</t>
  </si>
  <si>
    <t>Módulo resistente mínimo viga intermedia</t>
  </si>
  <si>
    <t>Detalle c. One Angle150x100x10</t>
  </si>
  <si>
    <t>Necesitamos más vigas?</t>
  </si>
  <si>
    <t>Módulo sección cm^3 de anillos de rigidez / vigas contraviento</t>
  </si>
  <si>
    <t>Tipo de elemento</t>
  </si>
  <si>
    <t>Dimensiones</t>
  </si>
  <si>
    <t>Espesor de construcción de la virola</t>
  </si>
  <si>
    <t>Detalle a. Top Angle</t>
  </si>
  <si>
    <t>65x65x6</t>
  </si>
  <si>
    <t>no aplica</t>
  </si>
  <si>
    <t>65x65x8</t>
  </si>
  <si>
    <t xml:space="preserve"> 75x75x10</t>
  </si>
  <si>
    <t>Detalle b. Curb Angle</t>
  </si>
  <si>
    <t>75x75x6</t>
  </si>
  <si>
    <t>75x75x10</t>
  </si>
  <si>
    <t>100x100x7</t>
  </si>
  <si>
    <t>100x100x10</t>
  </si>
  <si>
    <t>Detalle c. One Angle</t>
  </si>
  <si>
    <t>100x75x7</t>
  </si>
  <si>
    <t>102x75x8</t>
  </si>
  <si>
    <t>125x75x8</t>
  </si>
  <si>
    <t>125x75x10</t>
  </si>
  <si>
    <t>150x75x10</t>
  </si>
  <si>
    <t>150x100x10</t>
  </si>
  <si>
    <t>Detalle d. Two Angle</t>
  </si>
  <si>
    <t>100x75x8</t>
  </si>
  <si>
    <t>100x75x10</t>
  </si>
  <si>
    <t>150x75x8</t>
  </si>
  <si>
    <t>Detalle e. Formed plate</t>
  </si>
  <si>
    <t>b=250</t>
  </si>
  <si>
    <t>b=300</t>
  </si>
  <si>
    <t>b=350</t>
  </si>
  <si>
    <t>b=400</t>
  </si>
  <si>
    <t>b=450</t>
  </si>
  <si>
    <t>b=500</t>
  </si>
  <si>
    <t>b=550</t>
  </si>
  <si>
    <t>b=600</t>
  </si>
  <si>
    <t>b=650</t>
  </si>
  <si>
    <t>b=700</t>
  </si>
  <si>
    <t>b=750</t>
  </si>
  <si>
    <t>b=800</t>
  </si>
  <si>
    <t>b=850</t>
  </si>
  <si>
    <t>b=900</t>
  </si>
  <si>
    <t>b=950</t>
  </si>
  <si>
    <t>b=1000</t>
  </si>
  <si>
    <t>espesor</t>
  </si>
  <si>
    <t>distancia superior</t>
  </si>
  <si>
    <t>distancia inferior</t>
  </si>
  <si>
    <t>Material Vigas</t>
  </si>
  <si>
    <t>Detalle a. Top Angle65x65x6</t>
  </si>
  <si>
    <t>Detalle a. Top Angle65x65x8</t>
  </si>
  <si>
    <t>Detalle a. Top Angle 75x75x10</t>
  </si>
  <si>
    <t>Detalle b. Curb Angle65x65x6</t>
  </si>
  <si>
    <t>Detalle b. Curb Angle65x65x8</t>
  </si>
  <si>
    <t>Detalle b. Curb Angle75x75x6</t>
  </si>
  <si>
    <t>Detalle b. Curb Angle75x75x10</t>
  </si>
  <si>
    <t>Detalle b. Curb Angle100x100x7</t>
  </si>
  <si>
    <t>Detalle b. Curb Angle100x100x10</t>
  </si>
  <si>
    <t>Detalle c. One Angle65x65x6</t>
  </si>
  <si>
    <t>Detalle c. One Angle65x65x8</t>
  </si>
  <si>
    <t>Detalle c. One Angle100x75x7</t>
  </si>
  <si>
    <t>Detalle c. One Angle102x75x8</t>
  </si>
  <si>
    <t>Detalle c. One Angle125x75x8</t>
  </si>
  <si>
    <t>Detalle c. One Angle125x75x10</t>
  </si>
  <si>
    <t>Detalle c. One Angle150x75x10</t>
  </si>
  <si>
    <t>Detalle d. Two Angle100x75x8</t>
  </si>
  <si>
    <t>Detalle d. Two Angle100x75x10</t>
  </si>
  <si>
    <t>Detalle d. Two Angle125x75x8</t>
  </si>
  <si>
    <t>Detalle d. Two Angle125x75x10</t>
  </si>
  <si>
    <t>Detalle d. Two Angle150x75x8</t>
  </si>
  <si>
    <t>Detalle d. Two Angle150x75x10</t>
  </si>
  <si>
    <t>Detalle e. Formed plateb=250</t>
  </si>
  <si>
    <t>Detalle e. Formed plateb=300</t>
  </si>
  <si>
    <t>Detalle e. Formed plateb=350</t>
  </si>
  <si>
    <t>Detalle e. Formed plateb=400</t>
  </si>
  <si>
    <t>Detalle e. Formed plateb=450</t>
  </si>
  <si>
    <t>Detalle e. Formed plateb=500</t>
  </si>
  <si>
    <t>Detalle e. Formed plateb=550</t>
  </si>
  <si>
    <t>Detalle e. Formed plateb=600</t>
  </si>
  <si>
    <t>Detalle e. Formed plateb=650</t>
  </si>
  <si>
    <t>Detalle e. Formed plateb=700</t>
  </si>
  <si>
    <t>Detalle e. Formed plateb=750</t>
  </si>
  <si>
    <t>Detalle e. Formed plateb=800</t>
  </si>
  <si>
    <t>Detalle e. Formed plateb=850</t>
  </si>
  <si>
    <t>Detalle e. Formed plateb=900</t>
  </si>
  <si>
    <t>Detalle e. Formed plateb=950</t>
  </si>
  <si>
    <t>Detalle e. Formed plateb=1000</t>
  </si>
  <si>
    <t>Selecciona uno de los perfiles en esta lista-&gt;</t>
  </si>
  <si>
    <t>CÁLCULO DEL FONDO</t>
  </si>
  <si>
    <t>Grupo I</t>
  </si>
  <si>
    <t>Grupo II</t>
  </si>
  <si>
    <t>Grupo III</t>
  </si>
  <si>
    <t>Grupo IV</t>
  </si>
  <si>
    <t>Grupo IVA</t>
  </si>
  <si>
    <t>Grupo V</t>
  </si>
  <si>
    <t>Grupo VI</t>
  </si>
  <si>
    <t>Grupo de materiales de la primera virola</t>
  </si>
  <si>
    <t>mat</t>
  </si>
  <si>
    <t>Tensión producto de la primera virola</t>
  </si>
  <si>
    <t>Tensión hidrostática de la primera virola</t>
  </si>
  <si>
    <t>Tipo de suelo requerido</t>
  </si>
  <si>
    <t>Wt</t>
  </si>
  <si>
    <t>Presión horizontal en la envolvente</t>
  </si>
  <si>
    <t>Espesor corroido del suelo</t>
  </si>
  <si>
    <t>Tensión producto en la primera virola</t>
  </si>
  <si>
    <t>Tensión hidrostática en la primera virola</t>
  </si>
  <si>
    <t>Espesor de la primera virola</t>
  </si>
  <si>
    <t>t&lt;=19</t>
  </si>
  <si>
    <t>25&lt;=t&lt;=32</t>
  </si>
  <si>
    <t>19&lt;t&lt;=25</t>
  </si>
  <si>
    <t>32&lt;t&lt;=40</t>
  </si>
  <si>
    <t>40&lt;t&lt;=45</t>
  </si>
  <si>
    <t>Tesión de la primera virola</t>
  </si>
  <si>
    <t>&lt;=190</t>
  </si>
  <si>
    <t>&lt;=210</t>
  </si>
  <si>
    <t>&lt;=220</t>
  </si>
  <si>
    <t>&lt;=250</t>
  </si>
  <si>
    <t>Referencias</t>
  </si>
  <si>
    <t>Máxima</t>
  </si>
  <si>
    <t>Distancia radial del anillo anular</t>
  </si>
  <si>
    <t>Distancia externa mínima requerida</t>
  </si>
  <si>
    <t>Área total del suelo</t>
  </si>
  <si>
    <t>m^2</t>
  </si>
  <si>
    <t>Volumen del suelo</t>
  </si>
  <si>
    <t>Cálculos tipo de suelo requerido</t>
  </si>
  <si>
    <t>Cálculos de Espesor del suelo</t>
  </si>
  <si>
    <t>St1</t>
  </si>
  <si>
    <t>Sd1</t>
  </si>
  <si>
    <t>dext</t>
  </si>
  <si>
    <t>Vsuelo</t>
  </si>
  <si>
    <t>Asuelo</t>
  </si>
  <si>
    <t>CÁLCULO DE VIROLAS</t>
  </si>
  <si>
    <t>CÁLCULO DEL TECHO (CÓNICO AUTOSOPORTADO)</t>
  </si>
  <si>
    <t>CÁLCULO GLOBAL PARAMÉTRICO DE TANQUE</t>
  </si>
  <si>
    <t>Análisis de volumen</t>
  </si>
  <si>
    <t>Volumen requerido</t>
  </si>
  <si>
    <t>Vreq</t>
  </si>
  <si>
    <r>
      <t>m</t>
    </r>
    <r>
      <rPr>
        <vertAlign val="superscript"/>
        <sz val="9"/>
        <color theme="1"/>
        <rFont val="Montserrat"/>
      </rPr>
      <t>3</t>
    </r>
  </si>
  <si>
    <t>Factor de seguridad por volumen</t>
  </si>
  <si>
    <t>Fvol</t>
  </si>
  <si>
    <t>%</t>
  </si>
  <si>
    <t>Vd</t>
  </si>
  <si>
    <t>H/D</t>
  </si>
  <si>
    <t>Dreq</t>
  </si>
  <si>
    <t>Altura requerida</t>
  </si>
  <si>
    <t>Hreq</t>
  </si>
  <si>
    <t>Volumen del tanque</t>
  </si>
  <si>
    <t>Hcar</t>
  </si>
  <si>
    <t>Hlib</t>
  </si>
  <si>
    <t>Espesor de virola mínimo</t>
  </si>
  <si>
    <t>Altura de carga del fluido</t>
  </si>
  <si>
    <t>Altura libre del tanque</t>
  </si>
  <si>
    <t>Hvs</t>
  </si>
  <si>
    <r>
      <t>m</t>
    </r>
    <r>
      <rPr>
        <b/>
        <vertAlign val="superscript"/>
        <sz val="14"/>
        <color theme="1"/>
        <rFont val="Montserrat"/>
      </rPr>
      <t>3</t>
    </r>
  </si>
  <si>
    <t>Volumen de diseño</t>
  </si>
  <si>
    <t>Relación de dimensión altura/diámetro</t>
  </si>
  <si>
    <t>Diámetro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</si>
</sst>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8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name val="Montserrat"/>
    </font>
    <font>
      <sz val="9"/>
      <name val="Montserrat"/>
    </font>
    <font>
      <b/>
      <sz val="9"/>
      <color theme="1"/>
      <name val="Montserrat"/>
    </font>
    <font>
      <b/>
      <i/>
      <sz val="9"/>
      <color theme="1"/>
      <name val="Montserrat"/>
    </font>
    <font>
      <i/>
      <sz val="9"/>
      <color theme="1"/>
      <name val="Montserrat"/>
    </font>
    <font>
      <b/>
      <sz val="26"/>
      <color theme="1"/>
      <name val="Montserrat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0"/>
      <name val="CuNIA"/>
    </font>
    <font>
      <b/>
      <sz val="10"/>
      <color theme="1"/>
      <name val="Montserrat"/>
    </font>
    <font>
      <b/>
      <sz val="14"/>
      <color theme="1"/>
      <name val="Montserrat"/>
    </font>
    <font>
      <b/>
      <sz val="10"/>
      <color rgb="FFFFFFFF"/>
      <name val="Montserrat"/>
    </font>
    <font>
      <b/>
      <vertAlign val="subscript"/>
      <sz val="10"/>
      <color rgb="FFFFFFFF"/>
      <name val="Montserrat"/>
    </font>
    <font>
      <b/>
      <vertAlign val="superscript"/>
      <sz val="10"/>
      <color rgb="FFFFFFFF"/>
      <name val="Montserrat"/>
    </font>
    <font>
      <b/>
      <sz val="8"/>
      <color rgb="FFFFFFFF"/>
      <name val="Montserrat"/>
    </font>
    <font>
      <b/>
      <sz val="9"/>
      <color rgb="FFFFFFFF"/>
      <name val="Montserrat"/>
    </font>
    <font>
      <sz val="10"/>
      <color theme="1"/>
      <name val="Montserrat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rgb="FF9C5700"/>
      <name val="Montserrat"/>
    </font>
    <font>
      <sz val="22"/>
      <color theme="1"/>
      <name val="Cunia"/>
    </font>
    <font>
      <b/>
      <sz val="12"/>
      <color theme="1"/>
      <name val="Montserrat"/>
    </font>
    <font>
      <b/>
      <sz val="24"/>
      <color theme="1"/>
      <name val="CuNIA"/>
    </font>
    <font>
      <vertAlign val="superscript"/>
      <sz val="9"/>
      <color theme="1"/>
      <name val="Montserrat"/>
    </font>
    <font>
      <b/>
      <sz val="11"/>
      <color theme="1"/>
      <name val="Montserrat"/>
    </font>
    <font>
      <b/>
      <vertAlign val="superscript"/>
      <sz val="14"/>
      <color theme="1"/>
      <name val="Montserrat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theme="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FFFF"/>
      </bottom>
      <diagonal/>
    </border>
    <border>
      <left/>
      <right/>
      <top style="medium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 style="medium">
        <color rgb="FFFFFFFF"/>
      </bottom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9" fillId="16" borderId="0" applyNumberFormat="0" applyBorder="0" applyAlignment="0" applyProtection="0"/>
  </cellStyleXfs>
  <cellXfs count="493">
    <xf numFmtId="0" fontId="0" fillId="0" borderId="0" xfId="0"/>
    <xf numFmtId="0" fontId="1" fillId="0" borderId="11" xfId="0" applyFont="1" applyBorder="1"/>
    <xf numFmtId="0" fontId="1" fillId="3" borderId="12" xfId="0" applyFont="1" applyFill="1" applyBorder="1"/>
    <xf numFmtId="0" fontId="2" fillId="0" borderId="14" xfId="0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/>
    </xf>
    <xf numFmtId="0" fontId="2" fillId="0" borderId="19" xfId="0" applyFont="1" applyBorder="1" applyAlignment="1">
      <alignment horizontal="centerContinuous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3" xfId="0" applyNumberFormat="1" applyFont="1" applyBorder="1"/>
    <xf numFmtId="1" fontId="3" fillId="0" borderId="24" xfId="0" applyNumberFormat="1" applyFont="1" applyBorder="1"/>
    <xf numFmtId="0" fontId="3" fillId="0" borderId="14" xfId="0" applyFont="1" applyBorder="1"/>
    <xf numFmtId="1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/>
    <xf numFmtId="1" fontId="3" fillId="0" borderId="15" xfId="0" applyNumberFormat="1" applyFont="1" applyBorder="1"/>
    <xf numFmtId="0" fontId="3" fillId="0" borderId="16" xfId="0" applyFont="1" applyBorder="1"/>
    <xf numFmtId="1" fontId="3" fillId="0" borderId="17" xfId="0" applyNumberFormat="1" applyFont="1" applyBorder="1" applyAlignment="1">
      <alignment horizontal="center"/>
    </xf>
    <xf numFmtId="1" fontId="3" fillId="0" borderId="17" xfId="0" applyNumberFormat="1" applyFont="1" applyBorder="1"/>
    <xf numFmtId="1" fontId="3" fillId="0" borderId="18" xfId="0" applyNumberFormat="1" applyFont="1" applyBorder="1"/>
    <xf numFmtId="0" fontId="1" fillId="0" borderId="10" xfId="0" applyFont="1" applyBorder="1" applyAlignment="1">
      <alignment horizontal="center"/>
    </xf>
    <xf numFmtId="0" fontId="2" fillId="0" borderId="22" xfId="0" applyFont="1" applyBorder="1"/>
    <xf numFmtId="0" fontId="2" fillId="0" borderId="14" xfId="0" applyFont="1" applyBorder="1"/>
    <xf numFmtId="0" fontId="1" fillId="0" borderId="0" xfId="0" applyFont="1"/>
    <xf numFmtId="0" fontId="4" fillId="6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5" xfId="0" applyFont="1" applyBorder="1"/>
    <xf numFmtId="0" fontId="1" fillId="0" borderId="17" xfId="0" applyFont="1" applyBorder="1" applyAlignment="1">
      <alignment horizontal="right"/>
    </xf>
    <xf numFmtId="0" fontId="1" fillId="0" borderId="18" xfId="0" applyFont="1" applyBorder="1"/>
    <xf numFmtId="0" fontId="4" fillId="6" borderId="29" xfId="0" applyFont="1" applyFill="1" applyBorder="1" applyAlignment="1">
      <alignment horizontal="center"/>
    </xf>
    <xf numFmtId="0" fontId="1" fillId="0" borderId="30" xfId="0" applyFont="1" applyBorder="1"/>
    <xf numFmtId="0" fontId="1" fillId="0" borderId="14" xfId="0" applyFont="1" applyBorder="1"/>
    <xf numFmtId="0" fontId="1" fillId="0" borderId="16" xfId="0" applyFont="1" applyBorder="1"/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164" fontId="4" fillId="0" borderId="15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5" xfId="0" applyFont="1" applyBorder="1"/>
    <xf numFmtId="0" fontId="1" fillId="0" borderId="22" xfId="0" applyFont="1" applyBorder="1"/>
    <xf numFmtId="164" fontId="1" fillId="0" borderId="23" xfId="0" applyNumberFormat="1" applyFont="1" applyBorder="1" applyAlignment="1">
      <alignment horizontal="center"/>
    </xf>
    <xf numFmtId="9" fontId="4" fillId="0" borderId="23" xfId="1" applyFont="1" applyBorder="1" applyAlignment="1">
      <alignment horizontal="center"/>
    </xf>
    <xf numFmtId="9" fontId="4" fillId="0" borderId="10" xfId="1" applyFont="1" applyBorder="1" applyAlignment="1">
      <alignment horizontal="center"/>
    </xf>
    <xf numFmtId="9" fontId="4" fillId="0" borderId="24" xfId="1" applyFont="1" applyBorder="1" applyAlignment="1">
      <alignment horizontal="center"/>
    </xf>
    <xf numFmtId="9" fontId="4" fillId="0" borderId="15" xfId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0" fillId="0" borderId="8" xfId="0" applyBorder="1"/>
    <xf numFmtId="0" fontId="0" fillId="0" borderId="26" xfId="0" applyBorder="1"/>
    <xf numFmtId="0" fontId="6" fillId="0" borderId="14" xfId="0" applyFont="1" applyBorder="1"/>
    <xf numFmtId="0" fontId="4" fillId="3" borderId="14" xfId="0" applyFont="1" applyFill="1" applyBorder="1"/>
    <xf numFmtId="0" fontId="6" fillId="0" borderId="16" xfId="0" applyFont="1" applyBorder="1"/>
    <xf numFmtId="0" fontId="1" fillId="4" borderId="12" xfId="0" applyFont="1" applyFill="1" applyBorder="1"/>
    <xf numFmtId="0" fontId="1" fillId="14" borderId="12" xfId="0" applyFont="1" applyFill="1" applyBorder="1"/>
    <xf numFmtId="0" fontId="1" fillId="0" borderId="23" xfId="0" applyFont="1" applyBorder="1" applyAlignment="1">
      <alignment horizontal="right"/>
    </xf>
    <xf numFmtId="0" fontId="1" fillId="0" borderId="24" xfId="0" applyFont="1" applyBorder="1"/>
    <xf numFmtId="0" fontId="1" fillId="0" borderId="20" xfId="0" applyFont="1" applyBorder="1" applyAlignment="1">
      <alignment horizontal="right"/>
    </xf>
    <xf numFmtId="0" fontId="6" fillId="0" borderId="19" xfId="0" applyFont="1" applyBorder="1"/>
    <xf numFmtId="0" fontId="1" fillId="0" borderId="21" xfId="0" applyFont="1" applyBorder="1"/>
    <xf numFmtId="2" fontId="1" fillId="0" borderId="20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15" xfId="0" applyBorder="1"/>
    <xf numFmtId="0" fontId="5" fillId="0" borderId="18" xfId="0" applyFont="1" applyBorder="1"/>
    <xf numFmtId="0" fontId="4" fillId="0" borderId="10" xfId="0" applyFont="1" applyBorder="1" applyAlignment="1">
      <alignment horizontal="right"/>
    </xf>
    <xf numFmtId="2" fontId="4" fillId="0" borderId="20" xfId="0" applyNumberFormat="1" applyFont="1" applyBorder="1" applyAlignment="1">
      <alignment horizontal="center"/>
    </xf>
    <xf numFmtId="0" fontId="4" fillId="0" borderId="15" xfId="0" applyFont="1" applyBorder="1"/>
    <xf numFmtId="0" fontId="0" fillId="0" borderId="10" xfId="0" applyBorder="1"/>
    <xf numFmtId="0" fontId="5" fillId="0" borderId="10" xfId="0" applyFont="1" applyBorder="1" applyAlignment="1">
      <alignment horizontal="right"/>
    </xf>
    <xf numFmtId="0" fontId="0" fillId="0" borderId="47" xfId="0" applyBorder="1"/>
    <xf numFmtId="164" fontId="0" fillId="0" borderId="0" xfId="0" applyNumberFormat="1"/>
    <xf numFmtId="0" fontId="0" fillId="0" borderId="17" xfId="0" applyBorder="1"/>
    <xf numFmtId="9" fontId="4" fillId="0" borderId="10" xfId="1" applyFont="1" applyBorder="1" applyAlignment="1">
      <alignment horizontal="right"/>
    </xf>
    <xf numFmtId="0" fontId="1" fillId="0" borderId="57" xfId="0" applyFont="1" applyBorder="1"/>
    <xf numFmtId="0" fontId="0" fillId="14" borderId="47" xfId="0" applyFill="1" applyBorder="1"/>
    <xf numFmtId="0" fontId="0" fillId="0" borderId="56" xfId="0" applyBorder="1"/>
    <xf numFmtId="0" fontId="16" fillId="13" borderId="66" xfId="0" applyFont="1" applyFill="1" applyBorder="1" applyAlignment="1">
      <alignment horizontal="center" vertical="center" wrapText="1"/>
    </xf>
    <xf numFmtId="0" fontId="16" fillId="13" borderId="7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/>
    </xf>
    <xf numFmtId="0" fontId="12" fillId="0" borderId="0" xfId="0" applyFont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73" xfId="0" applyBorder="1"/>
    <xf numFmtId="0" fontId="0" fillId="0" borderId="6" xfId="0" applyBorder="1"/>
    <xf numFmtId="0" fontId="0" fillId="0" borderId="7" xfId="0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9" xfId="0" applyFont="1" applyBorder="1"/>
    <xf numFmtId="0" fontId="20" fillId="0" borderId="57" xfId="0" applyFont="1" applyBorder="1" applyAlignment="1">
      <alignment horizontal="center"/>
    </xf>
    <xf numFmtId="0" fontId="20" fillId="0" borderId="74" xfId="0" applyFont="1" applyBorder="1" applyAlignment="1">
      <alignment horizontal="center"/>
    </xf>
    <xf numFmtId="0" fontId="20" fillId="0" borderId="75" xfId="0" applyFont="1" applyBorder="1" applyAlignment="1">
      <alignment horizontal="center"/>
    </xf>
    <xf numFmtId="0" fontId="20" fillId="0" borderId="22" xfId="0" applyFont="1" applyBorder="1"/>
    <xf numFmtId="0" fontId="0" fillId="0" borderId="23" xfId="0" applyBorder="1"/>
    <xf numFmtId="0" fontId="0" fillId="0" borderId="24" xfId="0" applyBorder="1"/>
    <xf numFmtId="0" fontId="20" fillId="0" borderId="16" xfId="0" applyFont="1" applyBorder="1"/>
    <xf numFmtId="0" fontId="0" fillId="0" borderId="18" xfId="0" applyBorder="1"/>
    <xf numFmtId="165" fontId="1" fillId="0" borderId="10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9" xfId="0" applyFont="1" applyBorder="1"/>
    <xf numFmtId="0" fontId="6" fillId="0" borderId="76" xfId="0" applyFont="1" applyBorder="1"/>
    <xf numFmtId="0" fontId="1" fillId="0" borderId="29" xfId="0" applyFont="1" applyBorder="1" applyAlignment="1">
      <alignment horizontal="right"/>
    </xf>
    <xf numFmtId="12" fontId="4" fillId="6" borderId="10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14" xfId="0" applyFont="1" applyFill="1" applyBorder="1"/>
    <xf numFmtId="0" fontId="4" fillId="14" borderId="14" xfId="0" applyFont="1" applyFill="1" applyBorder="1"/>
    <xf numFmtId="0" fontId="4" fillId="6" borderId="17" xfId="0" applyFont="1" applyFill="1" applyBorder="1" applyAlignment="1">
      <alignment horizontal="center"/>
    </xf>
    <xf numFmtId="0" fontId="1" fillId="0" borderId="10" xfId="0" applyFont="1" applyBorder="1"/>
    <xf numFmtId="164" fontId="1" fillId="0" borderId="77" xfId="0" applyNumberFormat="1" applyFont="1" applyBorder="1" applyAlignment="1">
      <alignment horizontal="center"/>
    </xf>
    <xf numFmtId="9" fontId="4" fillId="0" borderId="17" xfId="1" applyFont="1" applyBorder="1" applyAlignment="1">
      <alignment horizontal="center"/>
    </xf>
    <xf numFmtId="9" fontId="4" fillId="0" borderId="18" xfId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5" fillId="0" borderId="10" xfId="0" applyFont="1" applyBorder="1"/>
    <xf numFmtId="164" fontId="4" fillId="0" borderId="10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6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18" xfId="0" applyFont="1" applyBorder="1"/>
    <xf numFmtId="16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" fontId="4" fillId="0" borderId="12" xfId="0" applyNumberFormat="1" applyFont="1" applyBorder="1"/>
    <xf numFmtId="0" fontId="4" fillId="0" borderId="17" xfId="0" applyFont="1" applyBorder="1" applyAlignment="1">
      <alignment horizontal="right"/>
    </xf>
    <xf numFmtId="1" fontId="4" fillId="0" borderId="17" xfId="0" applyNumberFormat="1" applyFont="1" applyBorder="1"/>
    <xf numFmtId="0" fontId="0" fillId="0" borderId="0" xfId="0" applyAlignment="1">
      <alignment horizontal="center"/>
    </xf>
    <xf numFmtId="0" fontId="12" fillId="0" borderId="55" xfId="0" applyFont="1" applyBorder="1"/>
    <xf numFmtId="0" fontId="12" fillId="0" borderId="56" xfId="0" applyFont="1" applyBorder="1"/>
    <xf numFmtId="0" fontId="4" fillId="0" borderId="55" xfId="0" applyFont="1" applyBorder="1"/>
    <xf numFmtId="0" fontId="4" fillId="0" borderId="74" xfId="0" applyFont="1" applyBorder="1"/>
    <xf numFmtId="0" fontId="4" fillId="0" borderId="75" xfId="0" applyFont="1" applyBorder="1"/>
    <xf numFmtId="0" fontId="6" fillId="0" borderId="41" xfId="0" applyFont="1" applyBorder="1" applyAlignment="1">
      <alignment horizontal="left"/>
    </xf>
    <xf numFmtId="0" fontId="1" fillId="0" borderId="35" xfId="0" applyFont="1" applyBorder="1" applyAlignment="1">
      <alignment horizontal="right"/>
    </xf>
    <xf numFmtId="0" fontId="6" fillId="0" borderId="52" xfId="0" applyFont="1" applyBorder="1" applyAlignment="1">
      <alignment horizontal="left"/>
    </xf>
    <xf numFmtId="0" fontId="5" fillId="0" borderId="17" xfId="0" applyFont="1" applyBorder="1" applyAlignment="1">
      <alignment horizontal="right"/>
    </xf>
    <xf numFmtId="2" fontId="4" fillId="0" borderId="17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2" fontId="4" fillId="0" borderId="10" xfId="0" applyNumberFormat="1" applyFont="1" applyBorder="1"/>
    <xf numFmtId="164" fontId="4" fillId="6" borderId="10" xfId="0" applyNumberFormat="1" applyFont="1" applyFill="1" applyBorder="1" applyAlignment="1">
      <alignment horizontal="center"/>
    </xf>
    <xf numFmtId="2" fontId="1" fillId="0" borderId="10" xfId="0" applyNumberFormat="1" applyFont="1" applyBorder="1"/>
    <xf numFmtId="0" fontId="6" fillId="0" borderId="42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2" fontId="5" fillId="0" borderId="10" xfId="0" applyNumberFormat="1" applyFont="1" applyBorder="1"/>
    <xf numFmtId="2" fontId="1" fillId="0" borderId="15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0" fontId="6" fillId="0" borderId="38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20" borderId="14" xfId="0" applyFont="1" applyFill="1" applyBorder="1" applyAlignment="1">
      <alignment horizontal="center"/>
    </xf>
    <xf numFmtId="0" fontId="1" fillId="20" borderId="10" xfId="0" applyFont="1" applyFill="1" applyBorder="1" applyAlignment="1">
      <alignment horizontal="center"/>
    </xf>
    <xf numFmtId="0" fontId="1" fillId="20" borderId="15" xfId="0" applyFont="1" applyFill="1" applyBorder="1" applyAlignment="1">
      <alignment horizontal="center"/>
    </xf>
    <xf numFmtId="0" fontId="1" fillId="10" borderId="13" xfId="0" applyFont="1" applyFill="1" applyBorder="1"/>
    <xf numFmtId="0" fontId="4" fillId="10" borderId="14" xfId="0" applyFont="1" applyFill="1" applyBorder="1"/>
    <xf numFmtId="1" fontId="1" fillId="0" borderId="10" xfId="0" applyNumberFormat="1" applyFont="1" applyBorder="1"/>
    <xf numFmtId="0" fontId="4" fillId="0" borderId="35" xfId="0" applyFont="1" applyBorder="1" applyAlignment="1">
      <alignment horizontal="center"/>
    </xf>
    <xf numFmtId="0" fontId="4" fillId="20" borderId="35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164" fontId="5" fillId="0" borderId="10" xfId="0" applyNumberFormat="1" applyFont="1" applyBorder="1" applyAlignment="1">
      <alignment horizontal="right"/>
    </xf>
    <xf numFmtId="0" fontId="4" fillId="0" borderId="4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8" xfId="0" applyFont="1" applyBorder="1"/>
    <xf numFmtId="0" fontId="4" fillId="0" borderId="14" xfId="0" applyFont="1" applyBorder="1"/>
    <xf numFmtId="0" fontId="6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9" fontId="4" fillId="6" borderId="10" xfId="0" applyNumberFormat="1" applyFont="1" applyFill="1" applyBorder="1" applyAlignment="1">
      <alignment horizontal="center"/>
    </xf>
    <xf numFmtId="164" fontId="4" fillId="6" borderId="17" xfId="0" applyNumberFormat="1" applyFont="1" applyFill="1" applyBorder="1" applyAlignment="1">
      <alignment horizontal="center"/>
    </xf>
    <xf numFmtId="164" fontId="4" fillId="6" borderId="10" xfId="0" applyNumberFormat="1" applyFont="1" applyFill="1" applyBorder="1" applyAlignment="1">
      <alignment horizontal="center" vertical="center"/>
    </xf>
    <xf numFmtId="164" fontId="4" fillId="6" borderId="29" xfId="0" applyNumberFormat="1" applyFont="1" applyFill="1" applyBorder="1" applyAlignment="1">
      <alignment horizontal="center" vertical="center"/>
    </xf>
    <xf numFmtId="164" fontId="23" fillId="0" borderId="55" xfId="0" applyNumberFormat="1" applyFont="1" applyBorder="1" applyAlignment="1">
      <alignment horizontal="center" vertical="center"/>
    </xf>
    <xf numFmtId="0" fontId="23" fillId="0" borderId="56" xfId="0" applyFont="1" applyBorder="1"/>
    <xf numFmtId="0" fontId="23" fillId="0" borderId="55" xfId="0" applyFont="1" applyBorder="1" applyAlignment="1">
      <alignment horizontal="left"/>
    </xf>
    <xf numFmtId="0" fontId="26" fillId="0" borderId="56" xfId="0" applyFont="1" applyBorder="1"/>
    <xf numFmtId="3" fontId="12" fillId="0" borderId="55" xfId="0" applyNumberFormat="1" applyFont="1" applyBorder="1"/>
    <xf numFmtId="1" fontId="4" fillId="6" borderId="10" xfId="0" applyNumberFormat="1" applyFont="1" applyFill="1" applyBorder="1" applyAlignment="1">
      <alignment horizontal="center"/>
    </xf>
    <xf numFmtId="0" fontId="20" fillId="0" borderId="10" xfId="0" applyFont="1" applyBorder="1"/>
    <xf numFmtId="0" fontId="20" fillId="0" borderId="15" xfId="0" applyFont="1" applyBorder="1"/>
    <xf numFmtId="0" fontId="4" fillId="15" borderId="49" xfId="0" applyFont="1" applyFill="1" applyBorder="1" applyAlignment="1">
      <alignment horizontal="center" vertical="center"/>
    </xf>
    <xf numFmtId="0" fontId="4" fillId="15" borderId="22" xfId="0" applyFont="1" applyFill="1" applyBorder="1" applyAlignment="1">
      <alignment horizontal="center" vertical="center"/>
    </xf>
    <xf numFmtId="0" fontId="5" fillId="15" borderId="27" xfId="0" applyFont="1" applyFill="1" applyBorder="1" applyAlignment="1">
      <alignment horizontal="center" vertical="center"/>
    </xf>
    <xf numFmtId="0" fontId="5" fillId="15" borderId="23" xfId="0" applyFont="1" applyFill="1" applyBorder="1" applyAlignment="1">
      <alignment horizontal="center" vertical="center"/>
    </xf>
    <xf numFmtId="0" fontId="5" fillId="15" borderId="28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/>
    </xf>
    <xf numFmtId="0" fontId="4" fillId="6" borderId="50" xfId="0" applyFont="1" applyFill="1" applyBorder="1" applyAlignment="1">
      <alignment horizontal="center"/>
    </xf>
    <xf numFmtId="0" fontId="4" fillId="6" borderId="51" xfId="0" applyFont="1" applyFill="1" applyBorder="1" applyAlignment="1">
      <alignment horizontal="center"/>
    </xf>
    <xf numFmtId="0" fontId="4" fillId="6" borderId="37" xfId="0" applyFont="1" applyFill="1" applyBorder="1" applyAlignment="1">
      <alignment horizontal="center"/>
    </xf>
    <xf numFmtId="0" fontId="4" fillId="6" borderId="41" xfId="0" applyFont="1" applyFill="1" applyBorder="1" applyAlignment="1">
      <alignment horizontal="center"/>
    </xf>
    <xf numFmtId="0" fontId="4" fillId="6" borderId="53" xfId="0" applyFont="1" applyFill="1" applyBorder="1" applyAlignment="1">
      <alignment horizontal="center"/>
    </xf>
    <xf numFmtId="0" fontId="4" fillId="6" borderId="78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4" fillId="9" borderId="49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5" fillId="9" borderId="27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28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24" fillId="17" borderId="55" xfId="0" applyFont="1" applyFill="1" applyBorder="1" applyAlignment="1">
      <alignment horizontal="center"/>
    </xf>
    <xf numFmtId="0" fontId="24" fillId="17" borderId="47" xfId="0" applyFont="1" applyFill="1" applyBorder="1" applyAlignment="1">
      <alignment horizontal="center"/>
    </xf>
    <xf numFmtId="0" fontId="24" fillId="17" borderId="56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4" fillId="8" borderId="49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7" borderId="49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52" xfId="0" applyFont="1" applyBorder="1" applyAlignment="1">
      <alignment horizontal="left"/>
    </xf>
    <xf numFmtId="0" fontId="6" fillId="0" borderId="41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5" fillId="0" borderId="52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2" fontId="4" fillId="0" borderId="37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53" xfId="0" applyNumberFormat="1" applyFont="1" applyBorder="1" applyAlignment="1">
      <alignment horizontal="center"/>
    </xf>
    <xf numFmtId="0" fontId="6" fillId="0" borderId="37" xfId="0" applyFont="1" applyBorder="1" applyAlignment="1">
      <alignment horizontal="left"/>
    </xf>
    <xf numFmtId="0" fontId="5" fillId="18" borderId="37" xfId="0" applyFont="1" applyFill="1" applyBorder="1" applyAlignment="1">
      <alignment horizontal="right"/>
    </xf>
    <xf numFmtId="0" fontId="5" fillId="18" borderId="41" xfId="0" applyFont="1" applyFill="1" applyBorder="1" applyAlignment="1">
      <alignment horizontal="right"/>
    </xf>
    <xf numFmtId="0" fontId="5" fillId="18" borderId="35" xfId="0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1" fillId="16" borderId="48" xfId="2" applyFont="1" applyBorder="1" applyAlignment="1">
      <alignment horizontal="center"/>
    </xf>
    <xf numFmtId="0" fontId="21" fillId="16" borderId="50" xfId="2" applyFont="1" applyBorder="1" applyAlignment="1">
      <alignment horizontal="center"/>
    </xf>
    <xf numFmtId="0" fontId="21" fillId="16" borderId="51" xfId="2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7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2" fontId="4" fillId="0" borderId="50" xfId="0" applyNumberFormat="1" applyFont="1" applyBorder="1" applyAlignment="1">
      <alignment horizontal="center"/>
    </xf>
    <xf numFmtId="2" fontId="4" fillId="0" borderId="51" xfId="0" applyNumberFormat="1" applyFont="1" applyBorder="1" applyAlignment="1">
      <alignment horizontal="center"/>
    </xf>
    <xf numFmtId="0" fontId="4" fillId="5" borderId="52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5" borderId="53" xfId="0" applyFont="1" applyFill="1" applyBorder="1" applyAlignment="1">
      <alignment horizontal="center"/>
    </xf>
    <xf numFmtId="0" fontId="5" fillId="0" borderId="42" xfId="0" applyFont="1" applyBorder="1" applyAlignment="1">
      <alignment horizontal="left"/>
    </xf>
    <xf numFmtId="0" fontId="5" fillId="0" borderId="50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4" fillId="15" borderId="19" xfId="0" applyFont="1" applyFill="1" applyBorder="1" applyAlignment="1">
      <alignment horizontal="center" vertical="center"/>
    </xf>
    <xf numFmtId="0" fontId="5" fillId="15" borderId="20" xfId="0" applyFont="1" applyFill="1" applyBorder="1" applyAlignment="1">
      <alignment horizontal="center" vertical="center"/>
    </xf>
    <xf numFmtId="0" fontId="5" fillId="15" borderId="21" xfId="0" applyFont="1" applyFill="1" applyBorder="1" applyAlignment="1">
      <alignment horizontal="center" vertical="center"/>
    </xf>
    <xf numFmtId="0" fontId="5" fillId="15" borderId="24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7" borderId="43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44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4" borderId="14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164" fontId="4" fillId="6" borderId="37" xfId="0" applyNumberFormat="1" applyFont="1" applyFill="1" applyBorder="1" applyAlignment="1">
      <alignment horizontal="center"/>
    </xf>
    <xf numFmtId="164" fontId="4" fillId="6" borderId="41" xfId="0" applyNumberFormat="1" applyFont="1" applyFill="1" applyBorder="1" applyAlignment="1">
      <alignment horizontal="center"/>
    </xf>
    <xf numFmtId="164" fontId="4" fillId="6" borderId="53" xfId="0" applyNumberFormat="1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20" borderId="14" xfId="0" applyFont="1" applyFill="1" applyBorder="1" applyAlignment="1">
      <alignment horizontal="center"/>
    </xf>
    <xf numFmtId="0" fontId="4" fillId="20" borderId="10" xfId="0" applyFont="1" applyFill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164" fontId="5" fillId="0" borderId="37" xfId="0" applyNumberFormat="1" applyFont="1" applyBorder="1" applyAlignment="1">
      <alignment horizontal="center"/>
    </xf>
    <xf numFmtId="164" fontId="5" fillId="0" borderId="41" xfId="0" applyNumberFormat="1" applyFont="1" applyBorder="1" applyAlignment="1">
      <alignment horizontal="center"/>
    </xf>
    <xf numFmtId="164" fontId="5" fillId="0" borderId="53" xfId="0" applyNumberFormat="1" applyFont="1" applyBorder="1" applyAlignment="1">
      <alignment horizontal="center"/>
    </xf>
    <xf numFmtId="164" fontId="4" fillId="6" borderId="35" xfId="0" applyNumberFormat="1" applyFont="1" applyFill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164" fontId="5" fillId="0" borderId="48" xfId="0" applyNumberFormat="1" applyFont="1" applyBorder="1" applyAlignment="1">
      <alignment horizontal="center"/>
    </xf>
    <xf numFmtId="164" fontId="5" fillId="0" borderId="50" xfId="0" applyNumberFormat="1" applyFont="1" applyBorder="1" applyAlignment="1">
      <alignment horizontal="center"/>
    </xf>
    <xf numFmtId="164" fontId="5" fillId="0" borderId="51" xfId="0" applyNumberFormat="1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1" fillId="16" borderId="37" xfId="2" applyFont="1" applyBorder="1" applyAlignment="1">
      <alignment horizontal="center"/>
    </xf>
    <xf numFmtId="0" fontId="21" fillId="16" borderId="35" xfId="2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15" borderId="14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21" fillId="16" borderId="14" xfId="2" applyFont="1" applyBorder="1" applyAlignment="1">
      <alignment horizontal="center" wrapText="1"/>
    </xf>
    <xf numFmtId="0" fontId="21" fillId="16" borderId="10" xfId="2" applyFont="1" applyBorder="1" applyAlignment="1">
      <alignment horizontal="center" wrapText="1"/>
    </xf>
    <xf numFmtId="0" fontId="21" fillId="16" borderId="15" xfId="2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4" fillId="18" borderId="31" xfId="0" applyFont="1" applyFill="1" applyBorder="1" applyAlignment="1">
      <alignment horizontal="center"/>
    </xf>
    <xf numFmtId="0" fontId="4" fillId="18" borderId="32" xfId="0" applyFont="1" applyFill="1" applyBorder="1" applyAlignment="1">
      <alignment horizontal="center"/>
    </xf>
    <xf numFmtId="0" fontId="4" fillId="18" borderId="33" xfId="0" applyFont="1" applyFill="1" applyBorder="1" applyAlignment="1">
      <alignment horizontal="center"/>
    </xf>
    <xf numFmtId="0" fontId="6" fillId="0" borderId="39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5" fillId="0" borderId="53" xfId="0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7" borderId="11" xfId="0" applyFont="1" applyFill="1" applyBorder="1" applyAlignment="1">
      <alignment horizontal="center" vertical="center"/>
    </xf>
    <xf numFmtId="0" fontId="4" fillId="17" borderId="12" xfId="0" applyFont="1" applyFill="1" applyBorder="1" applyAlignment="1">
      <alignment horizontal="center" vertical="center"/>
    </xf>
    <xf numFmtId="0" fontId="4" fillId="17" borderId="13" xfId="0" applyFont="1" applyFill="1" applyBorder="1" applyAlignment="1">
      <alignment horizontal="center" vertical="center"/>
    </xf>
    <xf numFmtId="0" fontId="5" fillId="15" borderId="15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5" borderId="5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4" fillId="12" borderId="31" xfId="0" applyFont="1" applyFill="1" applyBorder="1" applyAlignment="1">
      <alignment horizontal="center"/>
    </xf>
    <xf numFmtId="0" fontId="4" fillId="12" borderId="32" xfId="0" applyFont="1" applyFill="1" applyBorder="1" applyAlignment="1">
      <alignment horizontal="center"/>
    </xf>
    <xf numFmtId="0" fontId="4" fillId="12" borderId="3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5" fillId="0" borderId="37" xfId="0" applyFont="1" applyBorder="1" applyAlignment="1">
      <alignment horizontal="left"/>
    </xf>
    <xf numFmtId="0" fontId="6" fillId="0" borderId="42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4" fillId="10" borderId="11" xfId="0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5" fillId="12" borderId="38" xfId="0" applyFont="1" applyFill="1" applyBorder="1" applyAlignment="1">
      <alignment horizontal="left"/>
    </xf>
    <xf numFmtId="0" fontId="5" fillId="12" borderId="40" xfId="0" applyFont="1" applyFill="1" applyBorder="1" applyAlignment="1">
      <alignment horizontal="left"/>
    </xf>
    <xf numFmtId="0" fontId="5" fillId="12" borderId="41" xfId="0" applyFont="1" applyFill="1" applyBorder="1" applyAlignment="1">
      <alignment horizontal="left"/>
    </xf>
    <xf numFmtId="0" fontId="5" fillId="12" borderId="53" xfId="0" applyFont="1" applyFill="1" applyBorder="1" applyAlignment="1">
      <alignment horizontal="left"/>
    </xf>
    <xf numFmtId="0" fontId="5" fillId="12" borderId="52" xfId="0" applyFont="1" applyFill="1" applyBorder="1" applyAlignment="1">
      <alignment horizontal="left"/>
    </xf>
    <xf numFmtId="0" fontId="4" fillId="15" borderId="38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5" fillId="15" borderId="29" xfId="0" applyFont="1" applyFill="1" applyBorder="1" applyAlignment="1">
      <alignment horizontal="center" vertical="center"/>
    </xf>
    <xf numFmtId="0" fontId="5" fillId="15" borderId="3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49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0" fillId="13" borderId="8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19" borderId="31" xfId="0" applyFont="1" applyFill="1" applyBorder="1" applyAlignment="1">
      <alignment horizontal="center"/>
    </xf>
    <xf numFmtId="0" fontId="2" fillId="19" borderId="32" xfId="0" applyFont="1" applyFill="1" applyBorder="1" applyAlignment="1">
      <alignment horizontal="center"/>
    </xf>
    <xf numFmtId="0" fontId="2" fillId="19" borderId="33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13" fillId="13" borderId="58" xfId="0" applyFont="1" applyFill="1" applyBorder="1" applyAlignment="1">
      <alignment horizontal="center" vertical="center" wrapText="1"/>
    </xf>
    <xf numFmtId="0" fontId="13" fillId="13" borderId="59" xfId="0" applyFont="1" applyFill="1" applyBorder="1" applyAlignment="1">
      <alignment horizontal="center" vertical="center" wrapText="1"/>
    </xf>
    <xf numFmtId="0" fontId="13" fillId="13" borderId="60" xfId="0" applyFont="1" applyFill="1" applyBorder="1" applyAlignment="1">
      <alignment horizontal="center" vertical="center" wrapText="1"/>
    </xf>
    <xf numFmtId="0" fontId="13" fillId="13" borderId="61" xfId="0" applyFont="1" applyFill="1" applyBorder="1" applyAlignment="1">
      <alignment horizontal="center" vertical="center" wrapText="1"/>
    </xf>
    <xf numFmtId="0" fontId="13" fillId="13" borderId="67" xfId="0" applyFont="1" applyFill="1" applyBorder="1" applyAlignment="1">
      <alignment horizontal="center" vertical="center" wrapText="1"/>
    </xf>
    <xf numFmtId="0" fontId="13" fillId="13" borderId="70" xfId="0" applyFont="1" applyFill="1" applyBorder="1" applyAlignment="1">
      <alignment horizontal="center" vertical="center" wrapText="1"/>
    </xf>
    <xf numFmtId="0" fontId="13" fillId="13" borderId="62" xfId="0" applyFont="1" applyFill="1" applyBorder="1" applyAlignment="1">
      <alignment horizontal="center" vertical="center" wrapText="1"/>
    </xf>
    <xf numFmtId="0" fontId="13" fillId="13" borderId="63" xfId="0" applyFont="1" applyFill="1" applyBorder="1" applyAlignment="1">
      <alignment horizontal="center" vertical="center" wrapText="1"/>
    </xf>
    <xf numFmtId="0" fontId="13" fillId="13" borderId="68" xfId="0" applyFont="1" applyFill="1" applyBorder="1" applyAlignment="1">
      <alignment horizontal="center" vertical="center" wrapText="1"/>
    </xf>
    <xf numFmtId="0" fontId="13" fillId="13" borderId="72" xfId="0" applyFont="1" applyFill="1" applyBorder="1" applyAlignment="1">
      <alignment horizontal="center" vertical="center" wrapText="1"/>
    </xf>
    <xf numFmtId="0" fontId="16" fillId="13" borderId="64" xfId="0" applyFont="1" applyFill="1" applyBorder="1" applyAlignment="1">
      <alignment horizontal="center" vertical="center" wrapText="1"/>
    </xf>
    <xf numFmtId="0" fontId="16" fillId="13" borderId="69" xfId="0" applyFont="1" applyFill="1" applyBorder="1" applyAlignment="1">
      <alignment horizontal="center" vertical="center" wrapText="1"/>
    </xf>
    <xf numFmtId="0" fontId="17" fillId="13" borderId="65" xfId="0" applyFont="1" applyFill="1" applyBorder="1" applyAlignment="1">
      <alignment horizontal="center" vertical="center" wrapText="1"/>
    </xf>
    <xf numFmtId="0" fontId="17" fillId="13" borderId="70" xfId="0" applyFont="1" applyFill="1" applyBorder="1" applyAlignment="1">
      <alignment horizontal="center" vertical="center" wrapText="1"/>
    </xf>
    <xf numFmtId="0" fontId="16" fillId="13" borderId="65" xfId="0" applyFont="1" applyFill="1" applyBorder="1" applyAlignment="1">
      <alignment horizontal="center" vertical="center" wrapText="1"/>
    </xf>
    <xf numFmtId="0" fontId="16" fillId="13" borderId="70" xfId="0" applyFont="1" applyFill="1" applyBorder="1" applyAlignment="1">
      <alignment horizontal="center" vertical="center" wrapText="1"/>
    </xf>
  </cellXfs>
  <cellStyles count="3">
    <cellStyle name="Neutral" xfId="2" builtinId="28"/>
    <cellStyle name="Normal" xfId="0" builtinId="0"/>
    <cellStyle name="Porcentaje" xfId="1" builtinId="5"/>
  </cellStyles>
  <dxfs count="62">
    <dxf>
      <fill>
        <patternFill>
          <bgColor theme="9" tint="0.39994506668294322"/>
        </patternFill>
      </fill>
    </dxf>
    <dxf>
      <font>
        <b/>
        <i val="0"/>
      </font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6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5.png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microsoft.com/office/2007/relationships/hdphoto" Target="../media/hdphoto2.wdp"/><Relationship Id="rId10" Type="http://schemas.openxmlformats.org/officeDocument/2006/relationships/image" Target="../media/image9.png"/><Relationship Id="rId4" Type="http://schemas.microsoft.com/office/2007/relationships/hdphoto" Target="../media/hdphoto1.wdp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933450</xdr:colOff>
      <xdr:row>0</xdr:row>
      <xdr:rowOff>0</xdr:rowOff>
    </xdr:from>
    <xdr:to>
      <xdr:col>1</xdr:col>
      <xdr:colOff>1828800</xdr:colOff>
      <xdr:row>3</xdr:row>
      <xdr:rowOff>235770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41158C-212F-444B-8D13-491180842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0"/>
          <a:ext cx="2847975" cy="10072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190500</xdr:rowOff>
    </xdr:from>
    <xdr:to>
      <xdr:col>0</xdr:col>
      <xdr:colOff>1870441</xdr:colOff>
      <xdr:row>40</xdr:row>
      <xdr:rowOff>174046</xdr:rowOff>
    </xdr:to>
    <xdr:pic>
      <xdr:nvPicPr>
        <xdr:cNvPr id="4" name="Picture 65">
          <a:extLst>
            <a:ext uri="{FF2B5EF4-FFF2-40B4-BE49-F238E27FC236}">
              <a16:creationId xmlns:a16="http://schemas.microsoft.com/office/drawing/2014/main" id="{4B58AEA7-5248-4E83-BFA4-91FFC05E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9400"/>
          <a:ext cx="1870441" cy="52238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742950</xdr:colOff>
      <xdr:row>0</xdr:row>
      <xdr:rowOff>0</xdr:rowOff>
    </xdr:from>
    <xdr:to>
      <xdr:col>7</xdr:col>
      <xdr:colOff>577850</xdr:colOff>
      <xdr:row>0</xdr:row>
      <xdr:rowOff>210241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023A67-35A1-456E-8ADA-5D2C6D53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0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11</xdr:col>
      <xdr:colOff>438150</xdr:colOff>
      <xdr:row>0</xdr:row>
      <xdr:rowOff>0</xdr:rowOff>
    </xdr:from>
    <xdr:to>
      <xdr:col>16</xdr:col>
      <xdr:colOff>61384</xdr:colOff>
      <xdr:row>0</xdr:row>
      <xdr:rowOff>210241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5D0DAF9-5BD8-4CC5-9CE6-2A030A99D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0" y="0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15</xdr:col>
      <xdr:colOff>667808</xdr:colOff>
      <xdr:row>0</xdr:row>
      <xdr:rowOff>10584</xdr:rowOff>
    </xdr:from>
    <xdr:to>
      <xdr:col>19</xdr:col>
      <xdr:colOff>886883</xdr:colOff>
      <xdr:row>0</xdr:row>
      <xdr:rowOff>220825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7FB203-26BA-4B21-90A8-FEA18E6B3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95725" y="10584"/>
          <a:ext cx="4060825" cy="210241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0</xdr:row>
      <xdr:rowOff>0</xdr:rowOff>
    </xdr:from>
    <xdr:to>
      <xdr:col>9</xdr:col>
      <xdr:colOff>2844262</xdr:colOff>
      <xdr:row>0</xdr:row>
      <xdr:rowOff>210241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3544E0-3D2B-4156-A9A8-7E114A662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075" y="0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3</xdr:row>
      <xdr:rowOff>57150</xdr:rowOff>
    </xdr:from>
    <xdr:to>
      <xdr:col>7</xdr:col>
      <xdr:colOff>568325</xdr:colOff>
      <xdr:row>4</xdr:row>
      <xdr:rowOff>10216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E5B6A94-241A-4BA8-981B-850D0256F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828675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11</xdr:col>
      <xdr:colOff>428625</xdr:colOff>
      <xdr:row>3</xdr:row>
      <xdr:rowOff>57150</xdr:rowOff>
    </xdr:from>
    <xdr:to>
      <xdr:col>16</xdr:col>
      <xdr:colOff>51859</xdr:colOff>
      <xdr:row>4</xdr:row>
      <xdr:rowOff>10216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7098B7-6D60-4BD9-A572-766334198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828675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15</xdr:col>
      <xdr:colOff>679450</xdr:colOff>
      <xdr:row>3</xdr:row>
      <xdr:rowOff>67733</xdr:rowOff>
    </xdr:from>
    <xdr:to>
      <xdr:col>19</xdr:col>
      <xdr:colOff>898525</xdr:colOff>
      <xdr:row>4</xdr:row>
      <xdr:rowOff>20799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1294F7-5D17-4C24-938C-2EC74487F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07367" y="829733"/>
          <a:ext cx="4060825" cy="20706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3</xdr:row>
      <xdr:rowOff>57150</xdr:rowOff>
    </xdr:from>
    <xdr:to>
      <xdr:col>9</xdr:col>
      <xdr:colOff>2834737</xdr:colOff>
      <xdr:row>4</xdr:row>
      <xdr:rowOff>10216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179D668-EDD1-4091-832A-007825330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828675"/>
          <a:ext cx="4057650" cy="210241"/>
        </a:xfrm>
        <a:prstGeom prst="rect">
          <a:avLst/>
        </a:prstGeom>
      </xdr:spPr>
    </xdr:pic>
    <xdr:clientData/>
  </xdr:twoCellAnchor>
  <xdr:twoCellAnchor editAs="oneCell">
    <xdr:from>
      <xdr:col>1</xdr:col>
      <xdr:colOff>17034</xdr:colOff>
      <xdr:row>106</xdr:row>
      <xdr:rowOff>112570</xdr:rowOff>
    </xdr:from>
    <xdr:to>
      <xdr:col>1</xdr:col>
      <xdr:colOff>2233083</xdr:colOff>
      <xdr:row>114</xdr:row>
      <xdr:rowOff>1</xdr:rowOff>
    </xdr:to>
    <xdr:pic>
      <xdr:nvPicPr>
        <xdr:cNvPr id="12" name="Imagen 11" descr="Imagen que contiene Forma&#10;&#10;Descripción generada automáticamente">
          <a:extLst>
            <a:ext uri="{FF2B5EF4-FFF2-40B4-BE49-F238E27FC236}">
              <a16:creationId xmlns:a16="http://schemas.microsoft.com/office/drawing/2014/main" id="{1966DF50-260B-4AE3-98DF-56697A08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74951" y="15183237"/>
          <a:ext cx="2216049" cy="1411430"/>
        </a:xfrm>
        <a:prstGeom prst="rect">
          <a:avLst/>
        </a:prstGeom>
      </xdr:spPr>
    </xdr:pic>
    <xdr:clientData/>
  </xdr:twoCellAnchor>
  <xdr:twoCellAnchor editAs="oneCell">
    <xdr:from>
      <xdr:col>1</xdr:col>
      <xdr:colOff>1562807</xdr:colOff>
      <xdr:row>114</xdr:row>
      <xdr:rowOff>63500</xdr:rowOff>
    </xdr:from>
    <xdr:to>
      <xdr:col>5</xdr:col>
      <xdr:colOff>624418</xdr:colOff>
      <xdr:row>128</xdr:row>
      <xdr:rowOff>95249</xdr:rowOff>
    </xdr:to>
    <xdr:pic>
      <xdr:nvPicPr>
        <xdr:cNvPr id="13" name="Imagen 12" descr="Diagrama&#10;&#10;Descripción generada automáticamente">
          <a:extLst>
            <a:ext uri="{FF2B5EF4-FFF2-40B4-BE49-F238E27FC236}">
              <a16:creationId xmlns:a16="http://schemas.microsoft.com/office/drawing/2014/main" id="{E09185E3-C273-46E9-A801-27B949C51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0724" y="16658167"/>
          <a:ext cx="4533194" cy="2719917"/>
        </a:xfrm>
        <a:prstGeom prst="rect">
          <a:avLst/>
        </a:prstGeom>
      </xdr:spPr>
    </xdr:pic>
    <xdr:clientData/>
  </xdr:twoCellAnchor>
  <xdr:twoCellAnchor editAs="oneCell">
    <xdr:from>
      <xdr:col>1</xdr:col>
      <xdr:colOff>1481368</xdr:colOff>
      <xdr:row>130</xdr:row>
      <xdr:rowOff>42334</xdr:rowOff>
    </xdr:from>
    <xdr:to>
      <xdr:col>5</xdr:col>
      <xdr:colOff>579369</xdr:colOff>
      <xdr:row>141</xdr:row>
      <xdr:rowOff>105834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FEA0C72-204D-403B-8D4D-AEB2EEAE2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285" y="24648584"/>
          <a:ext cx="4569584" cy="2169583"/>
        </a:xfrm>
        <a:prstGeom prst="rect">
          <a:avLst/>
        </a:prstGeom>
      </xdr:spPr>
    </xdr:pic>
    <xdr:clientData/>
  </xdr:twoCellAnchor>
  <xdr:twoCellAnchor editAs="oneCell">
    <xdr:from>
      <xdr:col>1</xdr:col>
      <xdr:colOff>1862667</xdr:colOff>
      <xdr:row>141</xdr:row>
      <xdr:rowOff>21166</xdr:rowOff>
    </xdr:from>
    <xdr:to>
      <xdr:col>5</xdr:col>
      <xdr:colOff>261204</xdr:colOff>
      <xdr:row>161</xdr:row>
      <xdr:rowOff>104382</xdr:rowOff>
    </xdr:to>
    <xdr:pic>
      <xdr:nvPicPr>
        <xdr:cNvPr id="15" name="Imagen 14" descr="Diagrama, Dibujo de ingeniería&#10;&#10;Descripción generada automáticamente">
          <a:extLst>
            <a:ext uri="{FF2B5EF4-FFF2-40B4-BE49-F238E27FC236}">
              <a16:creationId xmlns:a16="http://schemas.microsoft.com/office/drawing/2014/main" id="{57886E2B-CA80-47D3-9D94-34D204756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20584" y="26733499"/>
          <a:ext cx="3870120" cy="3903799"/>
        </a:xfrm>
        <a:prstGeom prst="rect">
          <a:avLst/>
        </a:prstGeom>
      </xdr:spPr>
    </xdr:pic>
    <xdr:clientData/>
  </xdr:twoCellAnchor>
  <xdr:twoCellAnchor editAs="oneCell">
    <xdr:from>
      <xdr:col>15</xdr:col>
      <xdr:colOff>533400</xdr:colOff>
      <xdr:row>218</xdr:row>
      <xdr:rowOff>114694</xdr:rowOff>
    </xdr:from>
    <xdr:to>
      <xdr:col>19</xdr:col>
      <xdr:colOff>42333</xdr:colOff>
      <xdr:row>228</xdr:row>
      <xdr:rowOff>101587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2C02289-42D5-4490-9E2C-EA957A9B9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4400" y="33367527"/>
          <a:ext cx="3350683" cy="1891893"/>
        </a:xfrm>
        <a:prstGeom prst="rect">
          <a:avLst/>
        </a:prstGeom>
      </xdr:spPr>
    </xdr:pic>
    <xdr:clientData/>
  </xdr:twoCellAnchor>
  <xdr:twoCellAnchor editAs="oneCell">
    <xdr:from>
      <xdr:col>1</xdr:col>
      <xdr:colOff>772582</xdr:colOff>
      <xdr:row>231</xdr:row>
      <xdr:rowOff>95250</xdr:rowOff>
    </xdr:from>
    <xdr:to>
      <xdr:col>5</xdr:col>
      <xdr:colOff>321760</xdr:colOff>
      <xdr:row>248</xdr:row>
      <xdr:rowOff>28735</xdr:rowOff>
    </xdr:to>
    <xdr:pic>
      <xdr:nvPicPr>
        <xdr:cNvPr id="17" name="Imagen 16" descr="Imagen que contiene edificio, ladrillo&#10;&#10;Descripción generada automáticamente">
          <a:extLst>
            <a:ext uri="{FF2B5EF4-FFF2-40B4-BE49-F238E27FC236}">
              <a16:creationId xmlns:a16="http://schemas.microsoft.com/office/drawing/2014/main" id="{E5D894FF-BCD2-4F0B-AF57-700093A35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30499" y="35835167"/>
          <a:ext cx="5020761" cy="3193152"/>
        </a:xfrm>
        <a:prstGeom prst="rect">
          <a:avLst/>
        </a:prstGeom>
      </xdr:spPr>
    </xdr:pic>
    <xdr:clientData/>
  </xdr:twoCellAnchor>
  <xdr:twoCellAnchor editAs="oneCell">
    <xdr:from>
      <xdr:col>1</xdr:col>
      <xdr:colOff>963084</xdr:colOff>
      <xdr:row>212</xdr:row>
      <xdr:rowOff>52917</xdr:rowOff>
    </xdr:from>
    <xdr:to>
      <xdr:col>4</xdr:col>
      <xdr:colOff>1097770</xdr:colOff>
      <xdr:row>228</xdr:row>
      <xdr:rowOff>18108</xdr:rowOff>
    </xdr:to>
    <xdr:pic>
      <xdr:nvPicPr>
        <xdr:cNvPr id="18" name="Imagen 17" descr="Diagrama&#10;&#10;Descripción generada automáticamente con confianza media">
          <a:extLst>
            <a:ext uri="{FF2B5EF4-FFF2-40B4-BE49-F238E27FC236}">
              <a16:creationId xmlns:a16="http://schemas.microsoft.com/office/drawing/2014/main" id="{B2176582-E92F-4984-B842-E3FFFDE90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1" y="32152167"/>
          <a:ext cx="4410352" cy="3023775"/>
        </a:xfrm>
        <a:prstGeom prst="rect">
          <a:avLst/>
        </a:prstGeom>
      </xdr:spPr>
    </xdr:pic>
    <xdr:clientData/>
  </xdr:twoCellAnchor>
  <xdr:twoCellAnchor editAs="oneCell">
    <xdr:from>
      <xdr:col>13</xdr:col>
      <xdr:colOff>310814</xdr:colOff>
      <xdr:row>251</xdr:row>
      <xdr:rowOff>5291</xdr:rowOff>
    </xdr:from>
    <xdr:to>
      <xdr:col>17</xdr:col>
      <xdr:colOff>138021</xdr:colOff>
      <xdr:row>261</xdr:row>
      <xdr:rowOff>10582</xdr:rowOff>
    </xdr:to>
    <xdr:pic>
      <xdr:nvPicPr>
        <xdr:cNvPr id="19" name="Imagen 18" descr="Gráfico, Gráfico de cajas y bigotes&#10;&#10;Descripción generada automáticamente con confianza media">
          <a:extLst>
            <a:ext uri="{FF2B5EF4-FFF2-40B4-BE49-F238E27FC236}">
              <a16:creationId xmlns:a16="http://schemas.microsoft.com/office/drawing/2014/main" id="{63204819-7A9A-40B6-B89B-6A6E0F4C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450147" y="39586958"/>
          <a:ext cx="3330290" cy="1910291"/>
        </a:xfrm>
        <a:prstGeom prst="rect">
          <a:avLst/>
        </a:prstGeom>
      </xdr:spPr>
    </xdr:pic>
    <xdr:clientData/>
  </xdr:twoCellAnchor>
  <xdr:twoCellAnchor editAs="oneCell">
    <xdr:from>
      <xdr:col>17</xdr:col>
      <xdr:colOff>416902</xdr:colOff>
      <xdr:row>250</xdr:row>
      <xdr:rowOff>21168</xdr:rowOff>
    </xdr:from>
    <xdr:to>
      <xdr:col>20</xdr:col>
      <xdr:colOff>136377</xdr:colOff>
      <xdr:row>261</xdr:row>
      <xdr:rowOff>78254</xdr:rowOff>
    </xdr:to>
    <xdr:pic>
      <xdr:nvPicPr>
        <xdr:cNvPr id="20" name="Imagen 19" descr="Gráfico&#10;&#10;Descripción generada automáticamente">
          <a:extLst>
            <a:ext uri="{FF2B5EF4-FFF2-40B4-BE49-F238E27FC236}">
              <a16:creationId xmlns:a16="http://schemas.microsoft.com/office/drawing/2014/main" id="{C605E8A9-11B6-4F5F-BB06-29498D660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953485" y="39412335"/>
          <a:ext cx="2841558" cy="2152586"/>
        </a:xfrm>
        <a:prstGeom prst="rect">
          <a:avLst/>
        </a:prstGeom>
      </xdr:spPr>
    </xdr:pic>
    <xdr:clientData/>
  </xdr:twoCellAnchor>
  <xdr:twoCellAnchor editAs="oneCell">
    <xdr:from>
      <xdr:col>13</xdr:col>
      <xdr:colOff>727133</xdr:colOff>
      <xdr:row>35</xdr:row>
      <xdr:rowOff>6995</xdr:rowOff>
    </xdr:from>
    <xdr:to>
      <xdr:col>20</xdr:col>
      <xdr:colOff>264585</xdr:colOff>
      <xdr:row>55</xdr:row>
      <xdr:rowOff>7353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BE119F5-D0B5-4BC2-84BC-BA68A8160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2505" b="96532" l="5983" r="99512">
                      <a14:foregroundMark x1="10256" y1="51445" x2="41758" y2="71291"/>
                      <a14:foregroundMark x1="31013" y1="44316" x2="44811" y2="68015"/>
                      <a14:foregroundMark x1="64347" y1="47399" x2="62637" y2="74759"/>
                      <a14:foregroundMark x1="70940" y1="44316" x2="37118" y2="70135"/>
                      <a14:foregroundMark x1="58242" y1="43545" x2="49695" y2="62235"/>
                      <a14:foregroundMark x1="16361" y1="95954" x2="34066" y2="93642"/>
                      <a14:foregroundMark x1="34066" y1="93642" x2="62027" y2="94798"/>
                      <a14:foregroundMark x1="81563" y1="93834" x2="95849" y2="89981"/>
                      <a14:foregroundMark x1="15140" y1="94798" x2="6349" y2="96724"/>
                      <a14:foregroundMark x1="92430" y1="83430" x2="92674" y2="77457"/>
                      <a14:foregroundMark x1="91697" y1="69942" x2="91819" y2="55299"/>
                      <a14:foregroundMark x1="91941" y1="29672" x2="91697" y2="94027"/>
                      <a14:foregroundMark x1="91697" y1="94027" x2="91697" y2="94027"/>
                      <a14:foregroundMark x1="92796" y1="30058" x2="99512" y2="30443"/>
                      <a14:foregroundMark x1="87790" y1="10212" x2="10501" y2="9441"/>
                      <a14:foregroundMark x1="10134" y1="11175" x2="9768" y2="29287"/>
                      <a14:foregroundMark x1="89255" y1="28902" x2="88889" y2="4432"/>
                      <a14:foregroundMark x1="89133" y1="3468" x2="89499" y2="30250"/>
                      <a14:foregroundMark x1="92430" y1="30250" x2="92186" y2="91329"/>
                      <a14:foregroundMark x1="10501" y1="10983" x2="10134" y2="4239"/>
                      <a14:foregroundMark x1="10623" y1="10983" x2="11233" y2="30058"/>
                      <a14:foregroundMark x1="89499" y1="4239" x2="89988" y2="22351"/>
                      <a14:foregroundMark x1="18315" y1="10019" x2="10134" y2="9827"/>
                      <a14:foregroundMark x1="80586" y1="9634" x2="87057" y2="9441"/>
                      <a14:foregroundMark x1="87057" y1="9441" x2="87546" y2="9441"/>
                      <a14:foregroundMark x1="89499" y1="29480" x2="98535" y2="28131"/>
                      <a14:foregroundMark x1="98535" y1="28131" x2="99145" y2="28131"/>
                      <a14:foregroundMark x1="10745" y1="5973" x2="10745" y2="2505"/>
                      <a14:foregroundMark x1="10379" y1="6166" x2="10501" y2="8863"/>
                      <a14:foregroundMark x1="9890" y1="4046" x2="9890" y2="4046"/>
                      <a14:foregroundMark x1="10379" y1="50867" x2="10379" y2="54143"/>
                      <a14:foregroundMark x1="10134" y1="29287" x2="10379" y2="91137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038849" y="7626995"/>
          <a:ext cx="6164592" cy="3963727"/>
        </a:xfrm>
        <a:prstGeom prst="rect">
          <a:avLst/>
        </a:prstGeom>
      </xdr:spPr>
    </xdr:pic>
    <xdr:clientData/>
  </xdr:twoCellAnchor>
  <xdr:twoCellAnchor editAs="oneCell">
    <xdr:from>
      <xdr:col>0</xdr:col>
      <xdr:colOff>1682750</xdr:colOff>
      <xdr:row>186</xdr:row>
      <xdr:rowOff>126999</xdr:rowOff>
    </xdr:from>
    <xdr:to>
      <xdr:col>3</xdr:col>
      <xdr:colOff>173473</xdr:colOff>
      <xdr:row>202</xdr:row>
      <xdr:rowOff>125940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41D5330-325F-4833-B111-BE40B1530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82750" y="33665582"/>
          <a:ext cx="3877640" cy="3057524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349250</xdr:colOff>
      <xdr:row>185</xdr:row>
      <xdr:rowOff>105833</xdr:rowOff>
    </xdr:from>
    <xdr:to>
      <xdr:col>7</xdr:col>
      <xdr:colOff>327025</xdr:colOff>
      <xdr:row>205</xdr:row>
      <xdr:rowOff>176024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E64E81-CEC6-46D9-BB90-7328C7B55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36167" y="33453916"/>
          <a:ext cx="3438525" cy="3890773"/>
        </a:xfrm>
        <a:prstGeom prst="rect">
          <a:avLst/>
        </a:prstGeom>
      </xdr:spPr>
    </xdr:pic>
    <xdr:clientData/>
  </xdr:twoCellAnchor>
  <xdr:twoCellAnchor editAs="oneCell">
    <xdr:from>
      <xdr:col>17</xdr:col>
      <xdr:colOff>328084</xdr:colOff>
      <xdr:row>81</xdr:row>
      <xdr:rowOff>173164</xdr:rowOff>
    </xdr:from>
    <xdr:to>
      <xdr:col>20</xdr:col>
      <xdr:colOff>677334</xdr:colOff>
      <xdr:row>90</xdr:row>
      <xdr:rowOff>131641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9593F81-5AF6-8D11-DBB2-7FE641E24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171584" y="14111414"/>
          <a:ext cx="3471333" cy="1694143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0</xdr:row>
      <xdr:rowOff>0</xdr:rowOff>
    </xdr:from>
    <xdr:to>
      <xdr:col>22</xdr:col>
      <xdr:colOff>658283</xdr:colOff>
      <xdr:row>0</xdr:row>
      <xdr:rowOff>210241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E3CE3C8-0990-4A13-906D-38D2EC5D6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8875" y="0"/>
          <a:ext cx="4060825" cy="210241"/>
        </a:xfrm>
        <a:prstGeom prst="rect">
          <a:avLst/>
        </a:prstGeom>
      </xdr:spPr>
    </xdr:pic>
    <xdr:clientData/>
  </xdr:twoCellAnchor>
  <xdr:twoCellAnchor editAs="oneCell">
    <xdr:from>
      <xdr:col>18</xdr:col>
      <xdr:colOff>154517</xdr:colOff>
      <xdr:row>3</xdr:row>
      <xdr:rowOff>57149</xdr:rowOff>
    </xdr:from>
    <xdr:to>
      <xdr:col>23</xdr:col>
      <xdr:colOff>3175</xdr:colOff>
      <xdr:row>4</xdr:row>
      <xdr:rowOff>10215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D14EB97-29D4-429E-8FBE-8B117D4C1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3915" r="96891">
                      <a14:foregroundMark x1="10305" y1="47778" x2="3915" y2="44444"/>
                      <a14:foregroundMark x1="92804" y1="55556" x2="96776" y2="51111"/>
                      <a14:foregroundMark x1="96776" y1="51111" x2="96891" y2="51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0517" y="819149"/>
          <a:ext cx="4060825" cy="207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C015-D363-4649-90AD-8CA299EA0156}">
  <dimension ref="A1:Z249"/>
  <sheetViews>
    <sheetView tabSelected="1" topLeftCell="A7" zoomScale="118" zoomScaleNormal="118" workbookViewId="0">
      <selection activeCell="B11" sqref="B11:B16"/>
    </sheetView>
  </sheetViews>
  <sheetFormatPr baseColWidth="10" defaultRowHeight="15"/>
  <cols>
    <col min="1" max="1" width="29.28515625" customWidth="1"/>
    <col min="2" max="2" width="40" customWidth="1"/>
    <col min="4" max="4" width="12.7109375" customWidth="1"/>
    <col min="5" max="5" width="18" customWidth="1"/>
    <col min="6" max="6" width="11.42578125" customWidth="1"/>
    <col min="7" max="7" width="9.85546875" customWidth="1"/>
    <col min="8" max="8" width="14.5703125" customWidth="1"/>
    <col min="9" max="9" width="11.7109375" customWidth="1"/>
    <col min="10" max="10" width="56.28515625" customWidth="1"/>
    <col min="11" max="11" width="11.85546875" bestFit="1" customWidth="1"/>
    <col min="12" max="12" width="17.5703125" customWidth="1"/>
    <col min="13" max="13" width="13.42578125" customWidth="1"/>
    <col min="14" max="14" width="13" customWidth="1"/>
    <col min="15" max="15" width="10.85546875" customWidth="1"/>
    <col min="16" max="16" width="11.5703125" customWidth="1"/>
    <col min="17" max="17" width="17.140625" customWidth="1"/>
    <col min="18" max="18" width="14.28515625" customWidth="1"/>
    <col min="19" max="19" width="14.5703125" customWidth="1"/>
    <col min="20" max="20" width="17.85546875" customWidth="1"/>
    <col min="21" max="21" width="10.7109375" customWidth="1"/>
    <col min="22" max="22" width="9.85546875" customWidth="1"/>
    <col min="23" max="23" width="10" customWidth="1"/>
    <col min="24" max="24" width="12.5703125" bestFit="1" customWidth="1"/>
  </cols>
  <sheetData>
    <row r="1" spans="1:26" ht="20.25" customHeight="1">
      <c r="A1" s="273"/>
      <c r="B1" s="274"/>
      <c r="C1" s="275"/>
      <c r="D1" s="444" t="s">
        <v>653</v>
      </c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</row>
    <row r="2" spans="1:26" ht="20.25" customHeight="1">
      <c r="A2" s="276"/>
      <c r="B2" s="277"/>
      <c r="C2" s="278"/>
      <c r="D2" s="444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34"/>
      <c r="Y2" s="34"/>
      <c r="Z2" s="34"/>
    </row>
    <row r="3" spans="1:26" ht="20.25" customHeight="1">
      <c r="A3" s="276"/>
      <c r="B3" s="277"/>
      <c r="C3" s="278"/>
      <c r="D3" s="444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34"/>
      <c r="Y3" s="34"/>
      <c r="Z3" s="34"/>
    </row>
    <row r="4" spans="1:26" ht="20.25" customHeight="1" thickBot="1">
      <c r="A4" s="279"/>
      <c r="B4" s="280"/>
      <c r="C4" s="281"/>
      <c r="D4" s="444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34"/>
      <c r="Y4" s="34"/>
      <c r="Z4" s="34"/>
    </row>
    <row r="5" spans="1:26" ht="20.25" customHeight="1" thickBot="1">
      <c r="A5" s="151"/>
      <c r="B5" s="151"/>
      <c r="V5" s="34"/>
      <c r="W5" s="34"/>
      <c r="X5" s="34"/>
      <c r="Y5" s="34"/>
      <c r="Z5" s="34"/>
    </row>
    <row r="6" spans="1:26" ht="30.75" thickBot="1">
      <c r="A6" s="34"/>
      <c r="B6" s="231" t="s">
        <v>651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3"/>
    </row>
    <row r="7" spans="1:26" ht="20.25" customHeight="1" thickBot="1">
      <c r="B7" s="62"/>
      <c r="C7" s="62"/>
      <c r="D7" s="62"/>
      <c r="E7" s="62"/>
      <c r="F7" s="59"/>
      <c r="G7" s="60"/>
      <c r="H7" s="60"/>
      <c r="I7" s="60"/>
      <c r="J7" s="60"/>
      <c r="K7" s="60"/>
      <c r="L7" s="60"/>
      <c r="M7" s="60"/>
      <c r="N7" s="59"/>
      <c r="O7" s="59"/>
      <c r="P7" s="60"/>
      <c r="Q7" s="60"/>
      <c r="R7" s="60"/>
      <c r="S7" s="59"/>
      <c r="T7" s="59"/>
      <c r="V7" s="34"/>
      <c r="W7" s="34"/>
      <c r="X7" s="34"/>
      <c r="Y7" s="34"/>
      <c r="Z7" s="34"/>
    </row>
    <row r="8" spans="1:26" ht="15.75" thickBot="1">
      <c r="B8" s="394" t="s">
        <v>0</v>
      </c>
      <c r="C8" s="395"/>
      <c r="D8" s="395"/>
      <c r="E8" s="396"/>
      <c r="F8" s="59"/>
      <c r="G8" s="418" t="s">
        <v>74</v>
      </c>
      <c r="H8" s="419"/>
      <c r="I8" s="419"/>
      <c r="J8" s="419"/>
      <c r="K8" s="419"/>
      <c r="L8" s="419"/>
      <c r="M8" s="420"/>
      <c r="N8" s="59"/>
      <c r="O8" s="399" t="s">
        <v>86</v>
      </c>
      <c r="P8" s="400"/>
      <c r="Q8" s="400"/>
      <c r="R8" s="400"/>
      <c r="S8" s="400"/>
      <c r="T8" s="401"/>
      <c r="W8" s="34"/>
    </row>
    <row r="9" spans="1:26">
      <c r="B9" s="234" t="s">
        <v>654</v>
      </c>
      <c r="C9" s="236" t="s">
        <v>5</v>
      </c>
      <c r="D9" s="236" t="s">
        <v>2</v>
      </c>
      <c r="E9" s="246" t="s">
        <v>3</v>
      </c>
      <c r="F9" s="59"/>
      <c r="G9" s="235" t="s">
        <v>78</v>
      </c>
      <c r="H9" s="310"/>
      <c r="I9" s="310" t="s">
        <v>5</v>
      </c>
      <c r="J9" s="310"/>
      <c r="K9" s="314" t="s">
        <v>2</v>
      </c>
      <c r="L9" s="315"/>
      <c r="M9" s="397" t="s">
        <v>3</v>
      </c>
      <c r="N9" s="59"/>
      <c r="O9" s="44" t="s">
        <v>67</v>
      </c>
      <c r="P9" s="45" t="s">
        <v>88</v>
      </c>
      <c r="Q9" s="45" t="s">
        <v>49</v>
      </c>
      <c r="R9" s="45" t="s">
        <v>87</v>
      </c>
      <c r="S9" s="45" t="s">
        <v>50</v>
      </c>
      <c r="T9" s="46" t="s">
        <v>87</v>
      </c>
      <c r="W9" s="34"/>
    </row>
    <row r="10" spans="1:26">
      <c r="B10" s="235"/>
      <c r="C10" s="237"/>
      <c r="D10" s="237"/>
      <c r="E10" s="247"/>
      <c r="F10" s="59"/>
      <c r="G10" s="235"/>
      <c r="H10" s="310"/>
      <c r="I10" s="310"/>
      <c r="J10" s="310"/>
      <c r="K10" s="316"/>
      <c r="L10" s="317"/>
      <c r="M10" s="398"/>
      <c r="N10" s="59"/>
      <c r="O10" s="53">
        <v>1</v>
      </c>
      <c r="P10" s="54">
        <f>I47</f>
        <v>6</v>
      </c>
      <c r="Q10" s="54">
        <f>((((4.9*$D$20)*(I17-0.3)*$D$63))/(P10-$D$27))</f>
        <v>51.155999999999999</v>
      </c>
      <c r="R10" s="55">
        <f t="shared" ref="R10:R21" si="0">Q10/$D$40</f>
        <v>0.31972499999999998</v>
      </c>
      <c r="S10" s="54">
        <f>((4.9*$D$20)*(I31-0.3))/P10</f>
        <v>42.63</v>
      </c>
      <c r="T10" s="57">
        <f t="shared" ref="T10:T21" si="1">S10/$D$41</f>
        <v>0.2492982456140351</v>
      </c>
      <c r="W10" s="34"/>
    </row>
    <row r="11" spans="1:26">
      <c r="B11" s="63" t="s">
        <v>655</v>
      </c>
      <c r="C11" s="36" t="s">
        <v>656</v>
      </c>
      <c r="D11" s="35">
        <v>225</v>
      </c>
      <c r="E11" s="37" t="s">
        <v>657</v>
      </c>
      <c r="F11" s="59"/>
      <c r="G11" s="405" t="s">
        <v>69</v>
      </c>
      <c r="H11" s="406"/>
      <c r="I11" s="259" t="s">
        <v>77</v>
      </c>
      <c r="J11" s="252"/>
      <c r="K11" s="411">
        <f>(D21*1000)/D26</f>
        <v>3</v>
      </c>
      <c r="L11" s="412"/>
      <c r="M11" s="37"/>
      <c r="N11" s="59"/>
      <c r="O11" s="42">
        <v>2</v>
      </c>
      <c r="P11" s="54">
        <f t="shared" ref="P11:P21" si="2">IF(G18&lt;=(ROUNDUP($K$11,0)),I48,0)</f>
        <v>6</v>
      </c>
      <c r="Q11" s="54">
        <f t="shared" ref="Q11:Q21" si="3">IF(G18&lt;=(ROUNDUP($K$11,0)),((((4.9*$D$20)*(I18-0.3)*$D$63))/(P11-$D$27)),0)</f>
        <v>33.516000000000005</v>
      </c>
      <c r="R11" s="56">
        <f t="shared" si="0"/>
        <v>0.20947500000000002</v>
      </c>
      <c r="S11" s="54">
        <f t="shared" ref="S11:S21" si="4">IF(G18&lt;=(ROUNDUP($K$11,0)),((4.9*$D$20)*(I32-0.3))/P11,0)</f>
        <v>27.930000000000003</v>
      </c>
      <c r="T11" s="58">
        <f t="shared" si="1"/>
        <v>0.16333333333333336</v>
      </c>
      <c r="W11" s="34"/>
    </row>
    <row r="12" spans="1:26">
      <c r="B12" s="63" t="s">
        <v>658</v>
      </c>
      <c r="C12" s="36" t="s">
        <v>659</v>
      </c>
      <c r="D12" s="198">
        <v>0.1</v>
      </c>
      <c r="E12" s="123" t="s">
        <v>660</v>
      </c>
      <c r="F12" s="59"/>
      <c r="G12" s="407"/>
      <c r="H12" s="408"/>
      <c r="I12" s="415" t="s">
        <v>79</v>
      </c>
      <c r="J12" s="255"/>
      <c r="K12" s="413">
        <f>ROUNDDOWN(K11,0)</f>
        <v>3</v>
      </c>
      <c r="L12" s="414"/>
      <c r="M12" s="37"/>
      <c r="N12" s="59"/>
      <c r="O12" s="42">
        <v>3</v>
      </c>
      <c r="P12" s="54">
        <f t="shared" si="2"/>
        <v>6</v>
      </c>
      <c r="Q12" s="54">
        <f t="shared" si="3"/>
        <v>15.876000000000001</v>
      </c>
      <c r="R12" s="56">
        <f t="shared" si="0"/>
        <v>9.9225000000000008E-2</v>
      </c>
      <c r="S12" s="54">
        <f t="shared" si="4"/>
        <v>13.230000000000002</v>
      </c>
      <c r="T12" s="58">
        <f t="shared" si="1"/>
        <v>7.7368421052631586E-2</v>
      </c>
      <c r="W12" s="34"/>
    </row>
    <row r="13" spans="1:26">
      <c r="B13" s="63" t="s">
        <v>674</v>
      </c>
      <c r="C13" s="36" t="s">
        <v>661</v>
      </c>
      <c r="D13" s="35">
        <f>(D11*D12)+D11</f>
        <v>247.5</v>
      </c>
      <c r="E13" s="37" t="s">
        <v>657</v>
      </c>
      <c r="F13" s="59"/>
      <c r="G13" s="409"/>
      <c r="H13" s="410"/>
      <c r="I13" s="415" t="s">
        <v>70</v>
      </c>
      <c r="J13" s="255"/>
      <c r="K13" s="351" t="str">
        <f>IF(AND((K11-K12)*D26&lt;1800,(K11-K12)*D26&gt;0),"NO CUMPLE TAMAÑO MÍNIMO",IF((K11-K12)*D26=0,"IGUAL QUE EL RESTO",(K11-K12)*D26))</f>
        <v>IGUAL QUE EL RESTO</v>
      </c>
      <c r="L13" s="352"/>
      <c r="M13" s="52" t="s">
        <v>11</v>
      </c>
      <c r="N13" s="59"/>
      <c r="O13" s="42">
        <v>4</v>
      </c>
      <c r="P13" s="54">
        <f t="shared" si="2"/>
        <v>0</v>
      </c>
      <c r="Q13" s="54">
        <f t="shared" si="3"/>
        <v>0</v>
      </c>
      <c r="R13" s="56">
        <f t="shared" si="0"/>
        <v>0</v>
      </c>
      <c r="S13" s="54">
        <f t="shared" si="4"/>
        <v>0</v>
      </c>
      <c r="T13" s="58">
        <f t="shared" si="1"/>
        <v>0</v>
      </c>
      <c r="W13" s="34"/>
    </row>
    <row r="14" spans="1:26" ht="15.75" thickBot="1">
      <c r="B14" s="63" t="s">
        <v>675</v>
      </c>
      <c r="C14" s="36" t="s">
        <v>662</v>
      </c>
      <c r="D14" s="35">
        <v>1.5</v>
      </c>
      <c r="E14" s="37" t="s">
        <v>10</v>
      </c>
      <c r="F14" s="59"/>
      <c r="G14" s="416" t="s">
        <v>75</v>
      </c>
      <c r="H14" s="417"/>
      <c r="I14" s="359" t="str">
        <f>IF(SUM(H17:H28)/1000=D21,"DIVISIÓN CORRECTA","REVISA LAS VIROLAS")</f>
        <v>DIVISIÓN CORRECTA</v>
      </c>
      <c r="J14" s="359"/>
      <c r="K14" s="359"/>
      <c r="L14" s="359"/>
      <c r="M14" s="360"/>
      <c r="N14" s="59"/>
      <c r="O14" s="42">
        <v>5</v>
      </c>
      <c r="P14" s="54">
        <f t="shared" si="2"/>
        <v>0</v>
      </c>
      <c r="Q14" s="54">
        <f t="shared" si="3"/>
        <v>0</v>
      </c>
      <c r="R14" s="56">
        <f t="shared" si="0"/>
        <v>0</v>
      </c>
      <c r="S14" s="54">
        <f t="shared" si="4"/>
        <v>0</v>
      </c>
      <c r="T14" s="58">
        <f t="shared" si="1"/>
        <v>0</v>
      </c>
      <c r="W14" s="34"/>
    </row>
    <row r="15" spans="1:26">
      <c r="B15" s="63" t="s">
        <v>676</v>
      </c>
      <c r="C15" s="36" t="s">
        <v>663</v>
      </c>
      <c r="D15" s="164">
        <f>((D13*4)/(D14*PI()))^(1/3)</f>
        <v>5.944719320868062</v>
      </c>
      <c r="E15" s="37" t="s">
        <v>10</v>
      </c>
      <c r="F15" s="59"/>
      <c r="G15" s="402" t="s">
        <v>76</v>
      </c>
      <c r="H15" s="403"/>
      <c r="I15" s="403"/>
      <c r="J15" s="403"/>
      <c r="K15" s="403"/>
      <c r="L15" s="403"/>
      <c r="M15" s="404"/>
      <c r="N15" s="59"/>
      <c r="O15" s="42">
        <v>6</v>
      </c>
      <c r="P15" s="54">
        <f t="shared" si="2"/>
        <v>0</v>
      </c>
      <c r="Q15" s="54">
        <f t="shared" si="3"/>
        <v>0</v>
      </c>
      <c r="R15" s="56">
        <f t="shared" si="0"/>
        <v>0</v>
      </c>
      <c r="S15" s="54">
        <f t="shared" si="4"/>
        <v>0</v>
      </c>
      <c r="T15" s="58">
        <f t="shared" si="1"/>
        <v>0</v>
      </c>
      <c r="W15" s="34"/>
    </row>
    <row r="16" spans="1:26" ht="15.75" thickBot="1">
      <c r="B16" s="65" t="s">
        <v>664</v>
      </c>
      <c r="C16" s="38" t="s">
        <v>665</v>
      </c>
      <c r="D16" s="199">
        <f>D15*D14</f>
        <v>8.9170789813020939</v>
      </c>
      <c r="E16" s="39" t="s">
        <v>10</v>
      </c>
      <c r="F16" s="59"/>
      <c r="G16" s="44" t="s">
        <v>67</v>
      </c>
      <c r="H16" s="45" t="s">
        <v>81</v>
      </c>
      <c r="I16" s="45" t="s">
        <v>82</v>
      </c>
      <c r="J16" s="45" t="s">
        <v>83</v>
      </c>
      <c r="K16" s="45" t="s">
        <v>85</v>
      </c>
      <c r="L16" s="45" t="s">
        <v>71</v>
      </c>
      <c r="M16" s="46" t="s">
        <v>80</v>
      </c>
      <c r="N16" s="59"/>
      <c r="O16" s="42">
        <v>7</v>
      </c>
      <c r="P16" s="54">
        <f t="shared" si="2"/>
        <v>0</v>
      </c>
      <c r="Q16" s="54">
        <f t="shared" si="3"/>
        <v>0</v>
      </c>
      <c r="R16" s="56">
        <f t="shared" si="0"/>
        <v>0</v>
      </c>
      <c r="S16" s="54">
        <f t="shared" si="4"/>
        <v>0</v>
      </c>
      <c r="T16" s="58">
        <f t="shared" si="1"/>
        <v>0</v>
      </c>
      <c r="W16" s="34"/>
    </row>
    <row r="17" spans="2:23" ht="15.75" thickBot="1">
      <c r="F17" s="59"/>
      <c r="G17" s="48">
        <v>1</v>
      </c>
      <c r="H17" s="31">
        <f>IF(K13="IGUAL QUE EL RESTO",D26,K13)</f>
        <v>3000</v>
      </c>
      <c r="I17" s="31">
        <f>D21</f>
        <v>9</v>
      </c>
      <c r="J17" s="47">
        <f>((((4.9*$D$20)*(I17-0.3)*$D$63))/$D$40)+$D$27</f>
        <v>2.5986250000000002</v>
      </c>
      <c r="K17" s="31">
        <f>$D$25+$D$27</f>
        <v>6</v>
      </c>
      <c r="L17" s="45" t="str">
        <f>IF(J17&gt;K17,"OK","TOMAR MÍNIMO")</f>
        <v>TOMAR MÍNIMO</v>
      </c>
      <c r="M17" s="50">
        <f>IF(L17="OK",J17,K17)</f>
        <v>6</v>
      </c>
      <c r="N17" s="59"/>
      <c r="O17" s="42">
        <v>8</v>
      </c>
      <c r="P17" s="54">
        <f t="shared" si="2"/>
        <v>0</v>
      </c>
      <c r="Q17" s="54">
        <f t="shared" si="3"/>
        <v>0</v>
      </c>
      <c r="R17" s="56">
        <f t="shared" si="0"/>
        <v>0</v>
      </c>
      <c r="S17" s="54">
        <f t="shared" si="4"/>
        <v>0</v>
      </c>
      <c r="T17" s="58">
        <f t="shared" si="1"/>
        <v>0</v>
      </c>
      <c r="W17" s="34"/>
    </row>
    <row r="18" spans="2:23">
      <c r="B18" s="244" t="s">
        <v>16</v>
      </c>
      <c r="C18" s="236" t="s">
        <v>5</v>
      </c>
      <c r="D18" s="236" t="s">
        <v>2</v>
      </c>
      <c r="E18" s="246" t="s">
        <v>3</v>
      </c>
      <c r="F18" s="59"/>
      <c r="G18" s="48">
        <v>2</v>
      </c>
      <c r="H18" s="31">
        <f t="shared" ref="H18:H28" si="5">IF(G18&lt;=(ROUNDUP($K$11,0)),$D$26,0)</f>
        <v>3000</v>
      </c>
      <c r="I18" s="31">
        <f>IF(G18&lt;=(ROUNDUP($K$11,0)),I17-(H17/1000),0)</f>
        <v>6</v>
      </c>
      <c r="J18" s="47">
        <f t="shared" ref="J18:J28" si="6">IF(G18&lt;=(ROUNDUP($K$11,0)),((((4.9*$D$20)*(I18-0.3)*$D$63))/$D$40)+$D$27,0)</f>
        <v>2.0473750000000002</v>
      </c>
      <c r="K18" s="31">
        <f t="shared" ref="K18:K28" si="7">IF(G18&lt;=(ROUNDUP($K$11,0)),$D$25+$D$27,0)</f>
        <v>6</v>
      </c>
      <c r="L18" s="45" t="str">
        <f>IF(G18&lt;=(ROUNDUP($K$11,0)),IF(J18&gt;K18,"OK","TOMAR MÍNIMO"),0)</f>
        <v>TOMAR MÍNIMO</v>
      </c>
      <c r="M18" s="50">
        <f t="shared" ref="M18:M22" si="8">IF(L18="OK",J18,K18)</f>
        <v>6</v>
      </c>
      <c r="N18" s="59"/>
      <c r="O18" s="42">
        <v>9</v>
      </c>
      <c r="P18" s="54">
        <f t="shared" si="2"/>
        <v>0</v>
      </c>
      <c r="Q18" s="54">
        <f t="shared" si="3"/>
        <v>0</v>
      </c>
      <c r="R18" s="56">
        <f t="shared" si="0"/>
        <v>0</v>
      </c>
      <c r="S18" s="54">
        <f t="shared" si="4"/>
        <v>0</v>
      </c>
      <c r="T18" s="58">
        <f t="shared" si="1"/>
        <v>0</v>
      </c>
      <c r="W18" s="34"/>
    </row>
    <row r="19" spans="2:23">
      <c r="B19" s="245"/>
      <c r="C19" s="237"/>
      <c r="D19" s="237"/>
      <c r="E19" s="247"/>
      <c r="F19" s="59"/>
      <c r="G19" s="48">
        <v>3</v>
      </c>
      <c r="H19" s="31">
        <f t="shared" si="5"/>
        <v>3000</v>
      </c>
      <c r="I19" s="31">
        <f t="shared" ref="I19:I28" si="9">IF(G19&lt;=(ROUNDUP($K$11,0)),I18-(H18/1000),0)</f>
        <v>3</v>
      </c>
      <c r="J19" s="47">
        <f t="shared" si="6"/>
        <v>1.4961250000000001</v>
      </c>
      <c r="K19" s="31">
        <f t="shared" si="7"/>
        <v>6</v>
      </c>
      <c r="L19" s="45" t="str">
        <f t="shared" ref="L19:L28" si="10">IF(G19&lt;=(ROUNDUP($K$11,0)),IF(J19&gt;K19,"OK","TOMAR MÍNIMO"),0)</f>
        <v>TOMAR MÍNIMO</v>
      </c>
      <c r="M19" s="50">
        <f t="shared" si="8"/>
        <v>6</v>
      </c>
      <c r="N19" s="59"/>
      <c r="O19" s="42">
        <v>10</v>
      </c>
      <c r="P19" s="54">
        <f t="shared" si="2"/>
        <v>0</v>
      </c>
      <c r="Q19" s="54">
        <f t="shared" si="3"/>
        <v>0</v>
      </c>
      <c r="R19" s="56">
        <f t="shared" si="0"/>
        <v>0</v>
      </c>
      <c r="S19" s="54">
        <f t="shared" si="4"/>
        <v>0</v>
      </c>
      <c r="T19" s="58">
        <f t="shared" si="1"/>
        <v>0</v>
      </c>
      <c r="W19" s="34"/>
    </row>
    <row r="20" spans="2:23">
      <c r="B20" s="63" t="s">
        <v>1</v>
      </c>
      <c r="C20" s="36" t="s">
        <v>6</v>
      </c>
      <c r="D20" s="164">
        <f>D21/D14</f>
        <v>6</v>
      </c>
      <c r="E20" s="37" t="s">
        <v>10</v>
      </c>
      <c r="F20" s="59"/>
      <c r="G20" s="48">
        <v>4</v>
      </c>
      <c r="H20" s="31">
        <f t="shared" si="5"/>
        <v>0</v>
      </c>
      <c r="I20" s="31">
        <f t="shared" si="9"/>
        <v>0</v>
      </c>
      <c r="J20" s="47">
        <f t="shared" si="6"/>
        <v>0</v>
      </c>
      <c r="K20" s="31">
        <f t="shared" si="7"/>
        <v>0</v>
      </c>
      <c r="L20" s="45">
        <f t="shared" si="10"/>
        <v>0</v>
      </c>
      <c r="M20" s="50">
        <f t="shared" si="8"/>
        <v>0</v>
      </c>
      <c r="N20" s="59"/>
      <c r="O20" s="42">
        <v>11</v>
      </c>
      <c r="P20" s="54">
        <f t="shared" si="2"/>
        <v>0</v>
      </c>
      <c r="Q20" s="54">
        <f t="shared" si="3"/>
        <v>0</v>
      </c>
      <c r="R20" s="56">
        <f t="shared" si="0"/>
        <v>0</v>
      </c>
      <c r="S20" s="54">
        <f t="shared" si="4"/>
        <v>0</v>
      </c>
      <c r="T20" s="58">
        <f t="shared" si="1"/>
        <v>0</v>
      </c>
      <c r="W20" s="34"/>
    </row>
    <row r="21" spans="2:23" ht="15.75" thickBot="1">
      <c r="B21" s="63" t="s">
        <v>4</v>
      </c>
      <c r="C21" s="36" t="s">
        <v>7</v>
      </c>
      <c r="D21" s="35">
        <v>9</v>
      </c>
      <c r="E21" s="37" t="s">
        <v>10</v>
      </c>
      <c r="F21" s="59"/>
      <c r="G21" s="48">
        <v>5</v>
      </c>
      <c r="H21" s="31">
        <f t="shared" si="5"/>
        <v>0</v>
      </c>
      <c r="I21" s="31">
        <f t="shared" si="9"/>
        <v>0</v>
      </c>
      <c r="J21" s="47">
        <f t="shared" si="6"/>
        <v>0</v>
      </c>
      <c r="K21" s="31">
        <f t="shared" si="7"/>
        <v>0</v>
      </c>
      <c r="L21" s="45">
        <f t="shared" si="10"/>
        <v>0</v>
      </c>
      <c r="M21" s="50">
        <f t="shared" si="8"/>
        <v>0</v>
      </c>
      <c r="N21" s="59"/>
      <c r="O21" s="43">
        <v>12</v>
      </c>
      <c r="P21" s="132">
        <f t="shared" si="2"/>
        <v>0</v>
      </c>
      <c r="Q21" s="132">
        <f t="shared" si="3"/>
        <v>0</v>
      </c>
      <c r="R21" s="133">
        <f t="shared" si="0"/>
        <v>0</v>
      </c>
      <c r="S21" s="132">
        <f t="shared" si="4"/>
        <v>0</v>
      </c>
      <c r="T21" s="134">
        <f t="shared" si="1"/>
        <v>0</v>
      </c>
      <c r="W21" s="34"/>
    </row>
    <row r="22" spans="2:23">
      <c r="B22" s="63" t="s">
        <v>666</v>
      </c>
      <c r="C22" s="36" t="s">
        <v>177</v>
      </c>
      <c r="D22" s="200">
        <f>(PI()*D21*(D20^2))/4</f>
        <v>254.46900494077323</v>
      </c>
      <c r="E22" s="37" t="s">
        <v>657</v>
      </c>
      <c r="F22" s="59"/>
      <c r="G22" s="48">
        <v>6</v>
      </c>
      <c r="H22" s="31">
        <f t="shared" si="5"/>
        <v>0</v>
      </c>
      <c r="I22" s="31">
        <f t="shared" si="9"/>
        <v>0</v>
      </c>
      <c r="J22" s="47">
        <f t="shared" si="6"/>
        <v>0</v>
      </c>
      <c r="K22" s="31">
        <f t="shared" si="7"/>
        <v>0</v>
      </c>
      <c r="L22" s="45">
        <f t="shared" si="10"/>
        <v>0</v>
      </c>
      <c r="M22" s="50">
        <f t="shared" si="8"/>
        <v>0</v>
      </c>
      <c r="N22" s="59"/>
      <c r="O22" s="59"/>
      <c r="W22" s="34"/>
    </row>
    <row r="23" spans="2:23">
      <c r="B23" s="63" t="s">
        <v>670</v>
      </c>
      <c r="C23" s="36" t="s">
        <v>667</v>
      </c>
      <c r="D23" s="200">
        <f>(D11*4)/(PI()*(D20^2))</f>
        <v>7.9577471545947667</v>
      </c>
      <c r="E23" s="75" t="s">
        <v>10</v>
      </c>
      <c r="F23" s="59"/>
      <c r="G23" s="48">
        <v>7</v>
      </c>
      <c r="H23" s="31">
        <f t="shared" si="5"/>
        <v>0</v>
      </c>
      <c r="I23" s="31">
        <f t="shared" si="9"/>
        <v>0</v>
      </c>
      <c r="J23" s="47">
        <f t="shared" si="6"/>
        <v>0</v>
      </c>
      <c r="K23" s="31">
        <f t="shared" si="7"/>
        <v>0</v>
      </c>
      <c r="L23" s="45">
        <f t="shared" si="10"/>
        <v>0</v>
      </c>
      <c r="M23" s="50">
        <f t="shared" ref="M23" si="11">IF(L23="OK",J23,K23)</f>
        <v>0</v>
      </c>
      <c r="N23" s="61"/>
      <c r="W23" s="34"/>
    </row>
    <row r="24" spans="2:23" ht="15.75" thickBot="1">
      <c r="B24" s="63" t="s">
        <v>671</v>
      </c>
      <c r="C24" s="36" t="s">
        <v>668</v>
      </c>
      <c r="D24" s="201">
        <f>D21-D23</f>
        <v>1.0422528454052333</v>
      </c>
      <c r="E24" s="41" t="s">
        <v>10</v>
      </c>
      <c r="F24" s="59"/>
      <c r="G24" s="48">
        <v>8</v>
      </c>
      <c r="H24" s="31">
        <f t="shared" si="5"/>
        <v>0</v>
      </c>
      <c r="I24" s="31">
        <f t="shared" si="9"/>
        <v>0</v>
      </c>
      <c r="J24" s="47">
        <f t="shared" si="6"/>
        <v>0</v>
      </c>
      <c r="K24" s="31">
        <f t="shared" si="7"/>
        <v>0</v>
      </c>
      <c r="L24" s="45">
        <f t="shared" si="10"/>
        <v>0</v>
      </c>
      <c r="M24" s="50">
        <f t="shared" ref="M24:M28" si="12">IF(L24="OK",J24,K24)</f>
        <v>0</v>
      </c>
      <c r="N24" s="61"/>
      <c r="W24" s="34"/>
    </row>
    <row r="25" spans="2:23" ht="16.5" customHeight="1">
      <c r="B25" s="63" t="s">
        <v>669</v>
      </c>
      <c r="C25" s="36" t="s">
        <v>68</v>
      </c>
      <c r="D25" s="35">
        <f>IF(D20&lt;15,5,IF(D20&lt;=36,6,IF(D20&lt;=60,8,IF(D20&gt;60,10,"error"))))</f>
        <v>5</v>
      </c>
      <c r="E25" s="75" t="s">
        <v>11</v>
      </c>
      <c r="F25" s="59"/>
      <c r="G25" s="48">
        <v>9</v>
      </c>
      <c r="H25" s="31">
        <f t="shared" si="5"/>
        <v>0</v>
      </c>
      <c r="I25" s="31">
        <f t="shared" si="9"/>
        <v>0</v>
      </c>
      <c r="J25" s="47">
        <f t="shared" si="6"/>
        <v>0</v>
      </c>
      <c r="K25" s="31">
        <f t="shared" si="7"/>
        <v>0</v>
      </c>
      <c r="L25" s="45">
        <f t="shared" si="10"/>
        <v>0</v>
      </c>
      <c r="M25" s="50">
        <f t="shared" si="12"/>
        <v>0</v>
      </c>
      <c r="N25" s="61"/>
      <c r="O25" s="301" t="s">
        <v>466</v>
      </c>
      <c r="P25" s="302"/>
      <c r="Q25" s="302"/>
      <c r="R25" s="302"/>
      <c r="S25" s="302"/>
      <c r="T25" s="303"/>
      <c r="W25" s="34"/>
    </row>
    <row r="26" spans="2:23" ht="16.5" customHeight="1">
      <c r="B26" s="63" t="s">
        <v>65</v>
      </c>
      <c r="C26" s="36" t="s">
        <v>66</v>
      </c>
      <c r="D26" s="40">
        <v>3000</v>
      </c>
      <c r="E26" s="41" t="s">
        <v>11</v>
      </c>
      <c r="F26" s="59"/>
      <c r="G26" s="48">
        <v>10</v>
      </c>
      <c r="H26" s="31">
        <f t="shared" si="5"/>
        <v>0</v>
      </c>
      <c r="I26" s="31">
        <f t="shared" si="9"/>
        <v>0</v>
      </c>
      <c r="J26" s="47">
        <f t="shared" si="6"/>
        <v>0</v>
      </c>
      <c r="K26" s="31">
        <f t="shared" si="7"/>
        <v>0</v>
      </c>
      <c r="L26" s="45">
        <f t="shared" si="10"/>
        <v>0</v>
      </c>
      <c r="M26" s="50">
        <f t="shared" si="12"/>
        <v>0</v>
      </c>
      <c r="N26" s="61"/>
      <c r="O26" s="304"/>
      <c r="P26" s="305"/>
      <c r="Q26" s="305"/>
      <c r="R26" s="305"/>
      <c r="S26" s="305"/>
      <c r="T26" s="306"/>
      <c r="W26" s="34"/>
    </row>
    <row r="27" spans="2:23" ht="15" customHeight="1" thickBot="1">
      <c r="B27" s="63" t="s">
        <v>12</v>
      </c>
      <c r="C27" s="36" t="s">
        <v>13</v>
      </c>
      <c r="D27" s="35">
        <v>1</v>
      </c>
      <c r="E27" s="37" t="s">
        <v>11</v>
      </c>
      <c r="F27" s="59"/>
      <c r="G27" s="48">
        <v>11</v>
      </c>
      <c r="H27" s="31">
        <f t="shared" si="5"/>
        <v>0</v>
      </c>
      <c r="I27" s="31">
        <f t="shared" si="9"/>
        <v>0</v>
      </c>
      <c r="J27" s="47">
        <f t="shared" si="6"/>
        <v>0</v>
      </c>
      <c r="K27" s="31">
        <f t="shared" si="7"/>
        <v>0</v>
      </c>
      <c r="L27" s="45">
        <f t="shared" si="10"/>
        <v>0</v>
      </c>
      <c r="M27" s="50">
        <f t="shared" si="12"/>
        <v>0</v>
      </c>
      <c r="N27" s="61"/>
      <c r="O27" s="307"/>
      <c r="P27" s="308"/>
      <c r="Q27" s="308"/>
      <c r="R27" s="308"/>
      <c r="S27" s="308"/>
      <c r="T27" s="309"/>
      <c r="W27" s="34"/>
    </row>
    <row r="28" spans="2:23" ht="15" customHeight="1" thickBot="1">
      <c r="B28" s="63" t="s">
        <v>107</v>
      </c>
      <c r="C28" s="36" t="s">
        <v>108</v>
      </c>
      <c r="D28" s="35">
        <v>9.5</v>
      </c>
      <c r="E28" s="37" t="s">
        <v>91</v>
      </c>
      <c r="F28" s="59"/>
      <c r="G28" s="49">
        <v>12</v>
      </c>
      <c r="H28" s="31">
        <f t="shared" si="5"/>
        <v>0</v>
      </c>
      <c r="I28" s="31">
        <f t="shared" si="9"/>
        <v>0</v>
      </c>
      <c r="J28" s="47">
        <f t="shared" si="6"/>
        <v>0</v>
      </c>
      <c r="K28" s="31">
        <f t="shared" si="7"/>
        <v>0</v>
      </c>
      <c r="L28" s="45">
        <f t="shared" si="10"/>
        <v>0</v>
      </c>
      <c r="M28" s="50">
        <f t="shared" si="12"/>
        <v>0</v>
      </c>
      <c r="N28" s="61"/>
      <c r="O28" s="273"/>
      <c r="P28" s="274"/>
      <c r="Q28" s="274"/>
      <c r="R28" s="274"/>
      <c r="S28" s="274"/>
      <c r="T28" s="275"/>
      <c r="W28" s="34"/>
    </row>
    <row r="29" spans="2:23" ht="24" thickBot="1">
      <c r="B29" s="63" t="s">
        <v>107</v>
      </c>
      <c r="C29" s="36" t="s">
        <v>108</v>
      </c>
      <c r="D29" s="35">
        <f>RADIANS(D28)</f>
        <v>0.16580627893946132</v>
      </c>
      <c r="E29" s="37" t="s">
        <v>109</v>
      </c>
      <c r="F29" s="59"/>
      <c r="G29" s="402" t="s">
        <v>72</v>
      </c>
      <c r="H29" s="403"/>
      <c r="I29" s="403"/>
      <c r="J29" s="403"/>
      <c r="K29" s="403"/>
      <c r="L29" s="403"/>
      <c r="M29" s="404"/>
      <c r="N29" s="61"/>
      <c r="O29" s="152">
        <f>PI()*((D20/2)^2)*D21</f>
        <v>254.46900494077323</v>
      </c>
      <c r="P29" s="153" t="s">
        <v>673</v>
      </c>
      <c r="Q29" s="280"/>
      <c r="R29" s="280"/>
      <c r="S29" s="206">
        <f>O29*1000</f>
        <v>254469.00494077324</v>
      </c>
      <c r="T29" s="153" t="s">
        <v>467</v>
      </c>
      <c r="W29" s="34"/>
    </row>
    <row r="30" spans="2:23" ht="15.75" customHeight="1" thickBot="1">
      <c r="B30" s="63" t="s">
        <v>65</v>
      </c>
      <c r="C30" s="36" t="s">
        <v>672</v>
      </c>
      <c r="D30" s="35">
        <v>3</v>
      </c>
      <c r="E30" s="37" t="s">
        <v>10</v>
      </c>
      <c r="F30" s="59"/>
      <c r="G30" s="44" t="s">
        <v>67</v>
      </c>
      <c r="H30" s="45" t="s">
        <v>81</v>
      </c>
      <c r="I30" s="45" t="s">
        <v>82</v>
      </c>
      <c r="J30" s="45" t="s">
        <v>84</v>
      </c>
      <c r="K30" s="45" t="s">
        <v>85</v>
      </c>
      <c r="L30" s="45" t="s">
        <v>71</v>
      </c>
      <c r="M30" s="46" t="s">
        <v>80</v>
      </c>
      <c r="N30" s="61"/>
      <c r="W30" s="34"/>
    </row>
    <row r="31" spans="2:23" ht="15" customHeight="1" thickBot="1">
      <c r="B31" s="63" t="s">
        <v>125</v>
      </c>
      <c r="C31" s="36" t="s">
        <v>124</v>
      </c>
      <c r="D31" s="35">
        <v>13</v>
      </c>
      <c r="E31" s="37" t="s">
        <v>11</v>
      </c>
      <c r="F31" s="59"/>
      <c r="G31" s="42">
        <v>1</v>
      </c>
      <c r="H31" s="31">
        <f>IF(K13="IGUAL QUE EL RESTO",D26,K13)</f>
        <v>3000</v>
      </c>
      <c r="I31" s="31">
        <f>D21</f>
        <v>9</v>
      </c>
      <c r="J31" s="47">
        <f>((4.9*$D$20)*(I31-0.3))/$D$41</f>
        <v>1.4957894736842106</v>
      </c>
      <c r="K31" s="31">
        <f>$D$25+$D$27</f>
        <v>6</v>
      </c>
      <c r="L31" s="45" t="str">
        <f>IF(J31&gt;K31,"OK","TOMAR MÍNIMO")</f>
        <v>TOMAR MÍNIMO</v>
      </c>
      <c r="M31" s="50">
        <f>IF(L31="OK",J31,K31)</f>
        <v>6</v>
      </c>
      <c r="N31" s="61"/>
      <c r="O31" s="154" t="s">
        <v>451</v>
      </c>
      <c r="P31" s="154"/>
      <c r="Q31" s="155">
        <f>O29*D64</f>
        <v>2488851.9156535785</v>
      </c>
      <c r="R31" s="156" t="s">
        <v>251</v>
      </c>
      <c r="W31" s="34"/>
    </row>
    <row r="32" spans="2:23" ht="15.75" customHeight="1" thickBot="1">
      <c r="B32" s="65" t="s">
        <v>110</v>
      </c>
      <c r="C32" s="216" t="s">
        <v>111</v>
      </c>
      <c r="D32" s="217"/>
      <c r="E32" s="218"/>
      <c r="F32" s="59"/>
      <c r="G32" s="42">
        <v>2</v>
      </c>
      <c r="H32" s="31">
        <f t="shared" ref="H32:H42" si="13">IF(G18&lt;=(ROUNDUP($K$11,0)),$D$26,0)</f>
        <v>3000</v>
      </c>
      <c r="I32" s="31">
        <f>IF(G18&lt;=(ROUNDUP($K$11,0)),I17-(H17/1000),0)</f>
        <v>6</v>
      </c>
      <c r="J32" s="47">
        <f t="shared" ref="J32:J42" si="14">IF(G18&lt;=(ROUNDUP($K$11,0)),((4.9*$D$20)*(I32-0.3))/$D$41,0)</f>
        <v>0.98000000000000009</v>
      </c>
      <c r="K32" s="31">
        <f t="shared" ref="K32:K42" si="15">IF(G18&lt;=(ROUNDUP($K$11,0)),$D$25+$D$27,0)</f>
        <v>6</v>
      </c>
      <c r="L32" s="45" t="str">
        <f>IF(G18&lt;=(ROUNDUP($K$11,0)),IF(J32&gt;K32,"OK","TOMAR MÍNIMO"),0)</f>
        <v>TOMAR MÍNIMO</v>
      </c>
      <c r="M32" s="50">
        <f t="shared" ref="M32:M36" si="16">IF(L32="OK",J32,K32)</f>
        <v>6</v>
      </c>
      <c r="N32" s="61"/>
      <c r="W32" s="34"/>
    </row>
    <row r="33" spans="2:23" ht="15.75" thickBot="1">
      <c r="F33" s="59"/>
      <c r="G33" s="42">
        <v>3</v>
      </c>
      <c r="H33" s="31">
        <f t="shared" si="13"/>
        <v>3000</v>
      </c>
      <c r="I33" s="31">
        <f t="shared" ref="I33:I42" si="17">IF(G19&lt;=(ROUNDUP($K$11,0)),I18-(H18/1000),0)</f>
        <v>3</v>
      </c>
      <c r="J33" s="47">
        <f t="shared" si="14"/>
        <v>0.46421052631578952</v>
      </c>
      <c r="K33" s="31">
        <f t="shared" si="15"/>
        <v>6</v>
      </c>
      <c r="L33" s="45" t="str">
        <f t="shared" ref="L33:L42" si="18">IF(G19&lt;=(ROUNDUP($K$11,0)),IF(J33&gt;K33,"OK","TOMAR MÍNIMO"),0)</f>
        <v>TOMAR MÍNIMO</v>
      </c>
      <c r="M33" s="50">
        <f t="shared" si="16"/>
        <v>6</v>
      </c>
      <c r="N33" s="61"/>
      <c r="W33" s="34"/>
    </row>
    <row r="34" spans="2:23" ht="15.75" thickBot="1">
      <c r="B34" s="238" t="s">
        <v>17</v>
      </c>
      <c r="C34" s="240" t="s">
        <v>5</v>
      </c>
      <c r="D34" s="240" t="s">
        <v>2</v>
      </c>
      <c r="E34" s="242" t="s">
        <v>3</v>
      </c>
      <c r="F34" s="59"/>
      <c r="G34" s="42">
        <v>4</v>
      </c>
      <c r="H34" s="31">
        <f t="shared" si="13"/>
        <v>0</v>
      </c>
      <c r="I34" s="31">
        <f t="shared" si="17"/>
        <v>0</v>
      </c>
      <c r="J34" s="47">
        <f t="shared" si="14"/>
        <v>0</v>
      </c>
      <c r="K34" s="31">
        <f t="shared" si="15"/>
        <v>0</v>
      </c>
      <c r="L34" s="45">
        <f t="shared" si="18"/>
        <v>0</v>
      </c>
      <c r="M34" s="50">
        <f t="shared" si="16"/>
        <v>0</v>
      </c>
      <c r="N34" s="61"/>
      <c r="W34" s="34"/>
    </row>
    <row r="35" spans="2:23" ht="19.5" thickBot="1">
      <c r="B35" s="239"/>
      <c r="C35" s="241"/>
      <c r="D35" s="241"/>
      <c r="E35" s="243"/>
      <c r="F35" s="59"/>
      <c r="G35" s="42">
        <v>5</v>
      </c>
      <c r="H35" s="31">
        <f t="shared" si="13"/>
        <v>0</v>
      </c>
      <c r="I35" s="31">
        <f t="shared" si="17"/>
        <v>0</v>
      </c>
      <c r="J35" s="47">
        <f t="shared" si="14"/>
        <v>0</v>
      </c>
      <c r="K35" s="31">
        <f t="shared" si="15"/>
        <v>0</v>
      </c>
      <c r="L35" s="45">
        <f t="shared" si="18"/>
        <v>0</v>
      </c>
      <c r="M35" s="50">
        <f t="shared" si="16"/>
        <v>0</v>
      </c>
      <c r="N35" s="61"/>
      <c r="R35" s="202">
        <f>D20</f>
        <v>6</v>
      </c>
      <c r="S35" s="203" t="s">
        <v>10</v>
      </c>
      <c r="W35" s="34"/>
    </row>
    <row r="36" spans="2:23">
      <c r="B36" s="63" t="s">
        <v>92</v>
      </c>
      <c r="C36" s="68" t="s">
        <v>93</v>
      </c>
      <c r="D36" s="35">
        <v>7860</v>
      </c>
      <c r="E36" s="69" t="s">
        <v>94</v>
      </c>
      <c r="F36" s="59"/>
      <c r="G36" s="42">
        <v>6</v>
      </c>
      <c r="H36" s="31">
        <f t="shared" si="13"/>
        <v>0</v>
      </c>
      <c r="I36" s="31">
        <f t="shared" si="17"/>
        <v>0</v>
      </c>
      <c r="J36" s="47">
        <f t="shared" si="14"/>
        <v>0</v>
      </c>
      <c r="K36" s="31">
        <f t="shared" si="15"/>
        <v>0</v>
      </c>
      <c r="L36" s="45">
        <f t="shared" si="18"/>
        <v>0</v>
      </c>
      <c r="M36" s="50">
        <f t="shared" si="16"/>
        <v>0</v>
      </c>
      <c r="N36" s="61"/>
      <c r="W36" s="34"/>
    </row>
    <row r="37" spans="2:23">
      <c r="B37" s="64" t="s">
        <v>9</v>
      </c>
      <c r="C37" s="219" t="s">
        <v>24</v>
      </c>
      <c r="D37" s="220"/>
      <c r="E37" s="221"/>
      <c r="F37" s="59"/>
      <c r="G37" s="42">
        <v>7</v>
      </c>
      <c r="H37" s="31">
        <f t="shared" si="13"/>
        <v>0</v>
      </c>
      <c r="I37" s="31">
        <f t="shared" si="17"/>
        <v>0</v>
      </c>
      <c r="J37" s="47">
        <f t="shared" si="14"/>
        <v>0</v>
      </c>
      <c r="K37" s="31">
        <f t="shared" si="15"/>
        <v>0</v>
      </c>
      <c r="L37" s="45">
        <f t="shared" si="18"/>
        <v>0</v>
      </c>
      <c r="M37" s="50">
        <f t="shared" ref="M37:M42" si="19">IF(L37="OK",J37,K37)</f>
        <v>0</v>
      </c>
      <c r="N37" s="61"/>
      <c r="W37" s="34"/>
    </row>
    <row r="38" spans="2:23">
      <c r="B38" s="63" t="s">
        <v>44</v>
      </c>
      <c r="C38" s="36" t="s">
        <v>47</v>
      </c>
      <c r="D38" s="193" cm="1">
        <f t="array" ref="D38">INDEX(Auxiliar!D8:G30,Auxiliar!D2,1)</f>
        <v>250</v>
      </c>
      <c r="E38" s="37" t="s">
        <v>19</v>
      </c>
      <c r="F38" s="59"/>
      <c r="G38" s="42">
        <v>8</v>
      </c>
      <c r="H38" s="31">
        <f t="shared" si="13"/>
        <v>0</v>
      </c>
      <c r="I38" s="31">
        <f t="shared" si="17"/>
        <v>0</v>
      </c>
      <c r="J38" s="47">
        <f t="shared" si="14"/>
        <v>0</v>
      </c>
      <c r="K38" s="31">
        <f t="shared" si="15"/>
        <v>0</v>
      </c>
      <c r="L38" s="45">
        <f t="shared" si="18"/>
        <v>0</v>
      </c>
      <c r="M38" s="50">
        <f t="shared" si="19"/>
        <v>0</v>
      </c>
      <c r="N38" s="61"/>
      <c r="W38" s="34"/>
    </row>
    <row r="39" spans="2:23">
      <c r="B39" s="63" t="s">
        <v>45</v>
      </c>
      <c r="C39" s="36" t="s">
        <v>48</v>
      </c>
      <c r="D39" s="193" cm="1">
        <f t="array" ref="D39">INDEX(Auxiliar!D8:G30,Auxiliar!D2,2)</f>
        <v>400</v>
      </c>
      <c r="E39" s="37" t="s">
        <v>19</v>
      </c>
      <c r="F39" s="59"/>
      <c r="G39" s="42">
        <v>9</v>
      </c>
      <c r="H39" s="31">
        <f t="shared" si="13"/>
        <v>0</v>
      </c>
      <c r="I39" s="31">
        <f t="shared" si="17"/>
        <v>0</v>
      </c>
      <c r="J39" s="47">
        <f t="shared" si="14"/>
        <v>0</v>
      </c>
      <c r="K39" s="31">
        <f t="shared" si="15"/>
        <v>0</v>
      </c>
      <c r="L39" s="45">
        <f t="shared" si="18"/>
        <v>0</v>
      </c>
      <c r="M39" s="50">
        <f t="shared" si="19"/>
        <v>0</v>
      </c>
      <c r="N39" s="61"/>
      <c r="W39" s="34"/>
    </row>
    <row r="40" spans="2:23">
      <c r="B40" s="63" t="s">
        <v>46</v>
      </c>
      <c r="C40" s="36" t="s">
        <v>49</v>
      </c>
      <c r="D40" s="193" cm="1">
        <f t="array" ref="D40">INDEX(Auxiliar!D8:G30,Auxiliar!D2,3)</f>
        <v>160</v>
      </c>
      <c r="E40" s="37" t="s">
        <v>19</v>
      </c>
      <c r="F40" s="59"/>
      <c r="G40" s="42">
        <v>10</v>
      </c>
      <c r="H40" s="31">
        <f t="shared" si="13"/>
        <v>0</v>
      </c>
      <c r="I40" s="31">
        <f t="shared" si="17"/>
        <v>0</v>
      </c>
      <c r="J40" s="47">
        <f t="shared" si="14"/>
        <v>0</v>
      </c>
      <c r="K40" s="31">
        <f t="shared" si="15"/>
        <v>0</v>
      </c>
      <c r="L40" s="45">
        <f t="shared" si="18"/>
        <v>0</v>
      </c>
      <c r="M40" s="50">
        <f t="shared" si="19"/>
        <v>0</v>
      </c>
      <c r="N40" s="61"/>
      <c r="W40" s="34"/>
    </row>
    <row r="41" spans="2:23">
      <c r="B41" s="63" t="s">
        <v>51</v>
      </c>
      <c r="C41" s="36" t="s">
        <v>50</v>
      </c>
      <c r="D41" s="193" cm="1">
        <f t="array" ref="D41">INDEX(Auxiliar!D8:G30,Auxiliar!D2,4)</f>
        <v>171</v>
      </c>
      <c r="E41" s="37" t="s">
        <v>19</v>
      </c>
      <c r="F41" s="59"/>
      <c r="G41" s="42">
        <v>11</v>
      </c>
      <c r="H41" s="31">
        <f t="shared" si="13"/>
        <v>0</v>
      </c>
      <c r="I41" s="31">
        <f t="shared" si="17"/>
        <v>0</v>
      </c>
      <c r="J41" s="47">
        <f t="shared" si="14"/>
        <v>0</v>
      </c>
      <c r="K41" s="31">
        <f t="shared" si="15"/>
        <v>0</v>
      </c>
      <c r="L41" s="45">
        <f t="shared" si="18"/>
        <v>0</v>
      </c>
      <c r="M41" s="50">
        <f t="shared" si="19"/>
        <v>0</v>
      </c>
      <c r="N41" s="61"/>
      <c r="W41" s="34"/>
    </row>
    <row r="42" spans="2:23" ht="15.75" thickBot="1">
      <c r="B42" s="128" t="s">
        <v>89</v>
      </c>
      <c r="C42" s="219" t="s">
        <v>24</v>
      </c>
      <c r="D42" s="220"/>
      <c r="E42" s="221"/>
      <c r="F42" s="59"/>
      <c r="G42" s="43">
        <v>12</v>
      </c>
      <c r="H42" s="97">
        <f t="shared" si="13"/>
        <v>0</v>
      </c>
      <c r="I42" s="97">
        <f t="shared" si="17"/>
        <v>0</v>
      </c>
      <c r="J42" s="135">
        <f t="shared" si="14"/>
        <v>0</v>
      </c>
      <c r="K42" s="97">
        <f t="shared" si="15"/>
        <v>0</v>
      </c>
      <c r="L42" s="51">
        <f t="shared" si="18"/>
        <v>0</v>
      </c>
      <c r="M42" s="136">
        <f t="shared" si="19"/>
        <v>0</v>
      </c>
      <c r="N42" s="61"/>
      <c r="W42" s="34"/>
    </row>
    <row r="43" spans="2:23">
      <c r="B43" s="63" t="s">
        <v>44</v>
      </c>
      <c r="C43" s="36" t="s">
        <v>47</v>
      </c>
      <c r="D43" s="193" cm="1">
        <f t="array" ref="D43">INDEX(Auxiliar!D8:G30,Auxiliar!E2,1)</f>
        <v>250</v>
      </c>
      <c r="E43" s="37" t="s">
        <v>19</v>
      </c>
      <c r="F43" s="34"/>
      <c r="G43" s="34"/>
      <c r="H43" s="34"/>
      <c r="M43" s="34"/>
      <c r="N43" s="34"/>
      <c r="W43" s="34"/>
    </row>
    <row r="44" spans="2:23" ht="15.75" thickBot="1">
      <c r="B44" s="63" t="s">
        <v>45</v>
      </c>
      <c r="C44" s="36" t="s">
        <v>48</v>
      </c>
      <c r="D44" s="193" cm="1">
        <f t="array" ref="D44">INDEX(Auxiliar!D8:G30,Auxiliar!E2,2)</f>
        <v>400</v>
      </c>
      <c r="E44" s="37" t="s">
        <v>19</v>
      </c>
      <c r="F44" s="34"/>
      <c r="G44" s="34"/>
      <c r="H44" s="34"/>
      <c r="M44" s="34"/>
      <c r="N44" s="34"/>
      <c r="W44" s="34"/>
    </row>
    <row r="45" spans="2:23" ht="15.75" thickBot="1">
      <c r="B45" s="63" t="s">
        <v>46</v>
      </c>
      <c r="C45" s="36" t="s">
        <v>49</v>
      </c>
      <c r="D45" s="193" cm="1">
        <f t="array" ref="D45">INDEX(Auxiliar!D8:G30,Auxiliar!E2,3)</f>
        <v>160</v>
      </c>
      <c r="E45" s="37" t="s">
        <v>19</v>
      </c>
      <c r="F45" s="34"/>
      <c r="G45" s="384" t="s">
        <v>73</v>
      </c>
      <c r="H45" s="385"/>
      <c r="I45" s="385"/>
      <c r="J45" s="386"/>
      <c r="L45" s="387" t="s">
        <v>181</v>
      </c>
      <c r="M45" s="388"/>
      <c r="N45" s="389"/>
      <c r="W45" s="34"/>
    </row>
    <row r="46" spans="2:23" ht="19.5" thickBot="1">
      <c r="B46" s="63" t="s">
        <v>51</v>
      </c>
      <c r="C46" s="36" t="s">
        <v>50</v>
      </c>
      <c r="D46" s="193" cm="1">
        <f t="array" ref="D46">INDEX(Auxiliar!D8:G30,Auxiliar!E2,4)</f>
        <v>171</v>
      </c>
      <c r="E46" s="37" t="s">
        <v>19</v>
      </c>
      <c r="F46" s="34"/>
      <c r="G46" s="44" t="s">
        <v>67</v>
      </c>
      <c r="H46" s="45" t="s">
        <v>8</v>
      </c>
      <c r="I46" s="137" t="s">
        <v>462</v>
      </c>
      <c r="J46" s="46" t="s">
        <v>463</v>
      </c>
      <c r="L46" s="44" t="s">
        <v>67</v>
      </c>
      <c r="M46" s="45" t="s">
        <v>182</v>
      </c>
      <c r="N46" s="46" t="s">
        <v>183</v>
      </c>
      <c r="U46" s="204">
        <f>D21</f>
        <v>9</v>
      </c>
      <c r="V46" s="205" t="s">
        <v>10</v>
      </c>
      <c r="W46" s="34"/>
    </row>
    <row r="47" spans="2:23">
      <c r="B47" s="129" t="s">
        <v>90</v>
      </c>
      <c r="C47" s="219" t="s">
        <v>24</v>
      </c>
      <c r="D47" s="220"/>
      <c r="E47" s="221"/>
      <c r="F47" s="34"/>
      <c r="G47" s="42">
        <v>1</v>
      </c>
      <c r="H47" s="47">
        <f t="shared" ref="H47:H58" si="20">MAX(M17,M31)</f>
        <v>6</v>
      </c>
      <c r="I47" s="138">
        <f t="shared" ref="I47:I58" si="21">ROUNDUP(H47,0)</f>
        <v>6</v>
      </c>
      <c r="J47" s="37" t="s">
        <v>11</v>
      </c>
      <c r="L47" s="42">
        <v>1</v>
      </c>
      <c r="M47" s="138">
        <f t="shared" ref="M47:M58" si="22">(PI()*(H17/1000)*((($D$20/2)^2)-(($D$20/2)-(I47/1000))^2))*$D$36</f>
        <v>2664.1683366073839</v>
      </c>
      <c r="N47" s="37" t="s">
        <v>153</v>
      </c>
      <c r="W47" s="34"/>
    </row>
    <row r="48" spans="2:23">
      <c r="B48" s="63" t="s">
        <v>44</v>
      </c>
      <c r="C48" s="36" t="s">
        <v>47</v>
      </c>
      <c r="D48" s="193" cm="1">
        <f t="array" ref="D48">INDEX(Auxiliar!D8:G30,Auxiliar!F2,1)</f>
        <v>250</v>
      </c>
      <c r="E48" s="37" t="s">
        <v>19</v>
      </c>
      <c r="F48" s="34"/>
      <c r="G48" s="42">
        <v>2</v>
      </c>
      <c r="H48" s="47">
        <f t="shared" si="20"/>
        <v>6</v>
      </c>
      <c r="I48" s="138">
        <f t="shared" si="21"/>
        <v>6</v>
      </c>
      <c r="J48" s="37" t="s">
        <v>11</v>
      </c>
      <c r="L48" s="42">
        <v>2</v>
      </c>
      <c r="M48" s="138">
        <f t="shared" si="22"/>
        <v>2664.1683366073839</v>
      </c>
      <c r="N48" s="37" t="s">
        <v>153</v>
      </c>
      <c r="W48" s="34"/>
    </row>
    <row r="49" spans="2:16">
      <c r="B49" s="63" t="s">
        <v>45</v>
      </c>
      <c r="C49" s="36" t="s">
        <v>48</v>
      </c>
      <c r="D49" s="193" cm="1">
        <f t="array" ref="D49">INDEX(Auxiliar!D8:G30,Auxiliar!F2,2)</f>
        <v>400</v>
      </c>
      <c r="E49" s="37" t="s">
        <v>19</v>
      </c>
      <c r="G49" s="42">
        <v>3</v>
      </c>
      <c r="H49" s="47">
        <f t="shared" si="20"/>
        <v>6</v>
      </c>
      <c r="I49" s="138">
        <f t="shared" si="21"/>
        <v>6</v>
      </c>
      <c r="J49" s="37" t="s">
        <v>11</v>
      </c>
      <c r="L49" s="42">
        <v>3</v>
      </c>
      <c r="M49" s="138">
        <f t="shared" si="22"/>
        <v>2664.1683366073839</v>
      </c>
      <c r="N49" s="37" t="s">
        <v>153</v>
      </c>
    </row>
    <row r="50" spans="2:16">
      <c r="B50" s="63" t="s">
        <v>46</v>
      </c>
      <c r="C50" s="36" t="s">
        <v>49</v>
      </c>
      <c r="D50" s="193" cm="1">
        <f t="array" ref="D50">INDEX(Auxiliar!D8:G30,Auxiliar!F2,3)</f>
        <v>160</v>
      </c>
      <c r="E50" s="37" t="s">
        <v>19</v>
      </c>
      <c r="G50" s="42">
        <v>4</v>
      </c>
      <c r="H50" s="47">
        <f t="shared" si="20"/>
        <v>0</v>
      </c>
      <c r="I50" s="138">
        <f t="shared" si="21"/>
        <v>0</v>
      </c>
      <c r="J50" s="37" t="s">
        <v>11</v>
      </c>
      <c r="L50" s="42">
        <v>4</v>
      </c>
      <c r="M50" s="138">
        <f t="shared" si="22"/>
        <v>0</v>
      </c>
      <c r="N50" s="37" t="s">
        <v>153</v>
      </c>
    </row>
    <row r="51" spans="2:16" ht="15.75" thickBot="1">
      <c r="B51" s="65" t="s">
        <v>51</v>
      </c>
      <c r="C51" s="38" t="s">
        <v>50</v>
      </c>
      <c r="D51" s="194" cm="1">
        <f t="array" ref="D51">INDEX(Auxiliar!D8:G30,Auxiliar!F2,4)</f>
        <v>171</v>
      </c>
      <c r="E51" s="39" t="s">
        <v>19</v>
      </c>
      <c r="F51" s="34"/>
      <c r="G51" s="42">
        <v>5</v>
      </c>
      <c r="H51" s="47">
        <f t="shared" si="20"/>
        <v>0</v>
      </c>
      <c r="I51" s="138">
        <f t="shared" si="21"/>
        <v>0</v>
      </c>
      <c r="J51" s="37" t="s">
        <v>11</v>
      </c>
      <c r="L51" s="42">
        <v>5</v>
      </c>
      <c r="M51" s="138">
        <f t="shared" si="22"/>
        <v>0</v>
      </c>
      <c r="N51" s="37" t="s">
        <v>153</v>
      </c>
    </row>
    <row r="52" spans="2:16">
      <c r="B52" s="182" t="s">
        <v>568</v>
      </c>
      <c r="C52" s="222" t="s">
        <v>24</v>
      </c>
      <c r="D52" s="223"/>
      <c r="E52" s="224"/>
      <c r="F52" s="34"/>
      <c r="G52" s="42">
        <v>6</v>
      </c>
      <c r="H52" s="47">
        <f t="shared" si="20"/>
        <v>0</v>
      </c>
      <c r="I52" s="138">
        <f t="shared" si="21"/>
        <v>0</v>
      </c>
      <c r="J52" s="37" t="s">
        <v>11</v>
      </c>
      <c r="L52" s="42">
        <v>6</v>
      </c>
      <c r="M52" s="138">
        <f t="shared" si="22"/>
        <v>0</v>
      </c>
      <c r="N52" s="37" t="s">
        <v>153</v>
      </c>
    </row>
    <row r="53" spans="2:16">
      <c r="B53" s="63" t="s">
        <v>44</v>
      </c>
      <c r="C53" s="36" t="s">
        <v>47</v>
      </c>
      <c r="D53" s="193" cm="1">
        <f t="array" ref="D53">INDEX(Auxiliar!D8:G30,Auxiliar!G2,1)</f>
        <v>250</v>
      </c>
      <c r="E53" s="37" t="s">
        <v>19</v>
      </c>
      <c r="F53" s="34"/>
      <c r="G53" s="42">
        <v>7</v>
      </c>
      <c r="H53" s="47">
        <f t="shared" si="20"/>
        <v>0</v>
      </c>
      <c r="I53" s="138">
        <f t="shared" si="21"/>
        <v>0</v>
      </c>
      <c r="J53" s="37" t="s">
        <v>11</v>
      </c>
      <c r="L53" s="42">
        <v>7</v>
      </c>
      <c r="M53" s="138">
        <f t="shared" si="22"/>
        <v>0</v>
      </c>
      <c r="N53" s="37" t="s">
        <v>153</v>
      </c>
    </row>
    <row r="54" spans="2:16">
      <c r="B54" s="63" t="s">
        <v>45</v>
      </c>
      <c r="C54" s="36" t="s">
        <v>48</v>
      </c>
      <c r="D54" s="193" cm="1">
        <f t="array" ref="D54">INDEX(Auxiliar!D8:G30,Auxiliar!G2,2)</f>
        <v>400</v>
      </c>
      <c r="E54" s="37" t="s">
        <v>19</v>
      </c>
      <c r="F54" s="34"/>
      <c r="G54" s="42">
        <v>8</v>
      </c>
      <c r="H54" s="47">
        <f t="shared" si="20"/>
        <v>0</v>
      </c>
      <c r="I54" s="138">
        <f t="shared" si="21"/>
        <v>0</v>
      </c>
      <c r="J54" s="37" t="s">
        <v>11</v>
      </c>
      <c r="L54" s="42">
        <v>8</v>
      </c>
      <c r="M54" s="138">
        <f t="shared" si="22"/>
        <v>0</v>
      </c>
      <c r="N54" s="37" t="s">
        <v>153</v>
      </c>
    </row>
    <row r="55" spans="2:16">
      <c r="B55" s="63" t="s">
        <v>46</v>
      </c>
      <c r="C55" s="36" t="s">
        <v>49</v>
      </c>
      <c r="D55" s="193" cm="1">
        <f t="array" ref="D55">INDEX(Auxiliar!D8:G30,Auxiliar!G2,3)</f>
        <v>160</v>
      </c>
      <c r="E55" s="37" t="s">
        <v>19</v>
      </c>
      <c r="F55" s="34"/>
      <c r="G55" s="42">
        <v>9</v>
      </c>
      <c r="H55" s="47">
        <f t="shared" si="20"/>
        <v>0</v>
      </c>
      <c r="I55" s="138">
        <f t="shared" si="21"/>
        <v>0</v>
      </c>
      <c r="J55" s="37" t="s">
        <v>11</v>
      </c>
      <c r="L55" s="42">
        <v>9</v>
      </c>
      <c r="M55" s="138">
        <f t="shared" si="22"/>
        <v>0</v>
      </c>
      <c r="N55" s="37" t="s">
        <v>153</v>
      </c>
    </row>
    <row r="56" spans="2:16" ht="15.75" thickBot="1">
      <c r="B56" s="65" t="s">
        <v>51</v>
      </c>
      <c r="C56" s="38" t="s">
        <v>50</v>
      </c>
      <c r="D56" s="194" cm="1">
        <f t="array" ref="D56">INDEX(Auxiliar!D8:G30,Auxiliar!G2,4)</f>
        <v>171</v>
      </c>
      <c r="E56" s="39" t="s">
        <v>19</v>
      </c>
      <c r="F56" s="34"/>
      <c r="G56" s="42">
        <v>10</v>
      </c>
      <c r="H56" s="47">
        <f t="shared" si="20"/>
        <v>0</v>
      </c>
      <c r="I56" s="138">
        <f t="shared" si="21"/>
        <v>0</v>
      </c>
      <c r="J56" s="37" t="s">
        <v>11</v>
      </c>
      <c r="L56" s="42">
        <v>10</v>
      </c>
      <c r="M56" s="138">
        <f t="shared" si="22"/>
        <v>0</v>
      </c>
      <c r="N56" s="37" t="s">
        <v>153</v>
      </c>
    </row>
    <row r="57" spans="2:16" ht="15.75" thickBot="1">
      <c r="F57" s="34"/>
      <c r="G57" s="42">
        <v>11</v>
      </c>
      <c r="H57" s="47">
        <f t="shared" si="20"/>
        <v>0</v>
      </c>
      <c r="I57" s="138">
        <f t="shared" si="21"/>
        <v>0</v>
      </c>
      <c r="J57" s="37" t="s">
        <v>11</v>
      </c>
      <c r="L57" s="42">
        <v>11</v>
      </c>
      <c r="M57" s="138">
        <f t="shared" si="22"/>
        <v>0</v>
      </c>
      <c r="N57" s="37" t="s">
        <v>153</v>
      </c>
    </row>
    <row r="58" spans="2:16" ht="15.75" thickBot="1">
      <c r="B58" s="225" t="s">
        <v>18</v>
      </c>
      <c r="C58" s="227" t="s">
        <v>5</v>
      </c>
      <c r="D58" s="227" t="s">
        <v>2</v>
      </c>
      <c r="E58" s="229" t="s">
        <v>3</v>
      </c>
      <c r="F58" s="34"/>
      <c r="G58" s="43">
        <v>12</v>
      </c>
      <c r="H58" s="135">
        <f t="shared" si="20"/>
        <v>0</v>
      </c>
      <c r="I58" s="139">
        <f t="shared" si="21"/>
        <v>0</v>
      </c>
      <c r="J58" s="39" t="s">
        <v>11</v>
      </c>
      <c r="L58" s="43">
        <v>12</v>
      </c>
      <c r="M58" s="139">
        <f t="shared" si="22"/>
        <v>0</v>
      </c>
      <c r="N58" s="39" t="s">
        <v>153</v>
      </c>
    </row>
    <row r="59" spans="2:16" ht="15.75" thickBot="1">
      <c r="B59" s="226"/>
      <c r="C59" s="228"/>
      <c r="D59" s="228"/>
      <c r="E59" s="230"/>
      <c r="F59" s="34"/>
    </row>
    <row r="60" spans="2:16">
      <c r="B60" s="63" t="s">
        <v>95</v>
      </c>
      <c r="C60" s="36" t="s">
        <v>96</v>
      </c>
      <c r="D60" s="35">
        <v>1</v>
      </c>
      <c r="E60" s="37" t="s">
        <v>97</v>
      </c>
      <c r="F60" s="34"/>
      <c r="G60" s="140" t="s">
        <v>464</v>
      </c>
      <c r="H60" s="142"/>
      <c r="I60" s="146">
        <f>_xlfn.MINIFS(I47:I58,I47:I58,"&lt;&gt;0")</f>
        <v>6</v>
      </c>
      <c r="J60" s="143" t="s">
        <v>11</v>
      </c>
      <c r="L60" s="140" t="s">
        <v>184</v>
      </c>
      <c r="M60" s="142"/>
      <c r="N60" s="147" t="s">
        <v>447</v>
      </c>
      <c r="O60" s="148">
        <f>SUM(M47:M58)</f>
        <v>7992.5050098221518</v>
      </c>
      <c r="P60" s="143" t="s">
        <v>153</v>
      </c>
    </row>
    <row r="61" spans="2:16" ht="15.75" thickBot="1">
      <c r="B61" s="63" t="s">
        <v>95</v>
      </c>
      <c r="C61" s="36" t="s">
        <v>96</v>
      </c>
      <c r="D61" s="35">
        <v>1</v>
      </c>
      <c r="E61" s="37" t="s">
        <v>98</v>
      </c>
      <c r="F61" s="34"/>
      <c r="G61" s="141" t="s">
        <v>465</v>
      </c>
      <c r="H61" s="144"/>
      <c r="I61" s="139">
        <f>MAX(I47:I58)</f>
        <v>6</v>
      </c>
      <c r="J61" s="145" t="s">
        <v>11</v>
      </c>
      <c r="L61" s="141" t="s">
        <v>184</v>
      </c>
      <c r="M61" s="144"/>
      <c r="N61" s="149" t="s">
        <v>447</v>
      </c>
      <c r="O61" s="150">
        <f>O60/0.1019716</f>
        <v>78379.715624959819</v>
      </c>
      <c r="P61" s="145" t="s">
        <v>251</v>
      </c>
    </row>
    <row r="62" spans="2:16">
      <c r="B62" s="63" t="s">
        <v>99</v>
      </c>
      <c r="C62" s="36" t="s">
        <v>100</v>
      </c>
      <c r="D62" s="35">
        <v>40</v>
      </c>
      <c r="E62" s="37" t="s">
        <v>101</v>
      </c>
      <c r="F62" s="34"/>
      <c r="N62" s="34"/>
    </row>
    <row r="63" spans="2:16">
      <c r="B63" s="63" t="s">
        <v>14</v>
      </c>
      <c r="C63" s="36" t="s">
        <v>15</v>
      </c>
      <c r="D63" s="35">
        <v>1</v>
      </c>
      <c r="E63" s="37"/>
      <c r="F63" s="34"/>
      <c r="G63" s="34"/>
      <c r="H63" s="34"/>
      <c r="M63" s="34"/>
      <c r="N63" s="34"/>
    </row>
    <row r="64" spans="2:16">
      <c r="B64" s="124" t="s">
        <v>452</v>
      </c>
      <c r="C64" s="125" t="s">
        <v>453</v>
      </c>
      <c r="D64" s="35">
        <v>9780.57</v>
      </c>
      <c r="E64" s="37" t="s">
        <v>454</v>
      </c>
      <c r="F64" s="34"/>
      <c r="G64" s="34"/>
      <c r="H64" s="34"/>
      <c r="M64" s="34"/>
      <c r="N64" s="34"/>
    </row>
    <row r="65" spans="1:23">
      <c r="B65" s="63" t="s">
        <v>102</v>
      </c>
      <c r="C65" s="36" t="s">
        <v>103</v>
      </c>
      <c r="D65" s="35">
        <v>0</v>
      </c>
      <c r="E65" s="37" t="s">
        <v>104</v>
      </c>
      <c r="F65" s="34"/>
      <c r="G65" s="34"/>
      <c r="H65" s="34"/>
      <c r="M65" s="34"/>
      <c r="N65" s="34"/>
    </row>
    <row r="66" spans="1:23">
      <c r="A66" s="34"/>
      <c r="B66" s="63" t="s">
        <v>105</v>
      </c>
      <c r="C66" s="70" t="s">
        <v>48</v>
      </c>
      <c r="D66" s="35">
        <v>0</v>
      </c>
      <c r="E66" s="37" t="s">
        <v>104</v>
      </c>
      <c r="F66" s="34"/>
      <c r="G66" s="34"/>
      <c r="H66" s="34"/>
      <c r="M66" s="34"/>
      <c r="N66" s="34"/>
    </row>
    <row r="67" spans="1:23">
      <c r="A67" s="34"/>
      <c r="B67" s="71" t="s">
        <v>308</v>
      </c>
      <c r="C67" s="70" t="s">
        <v>106</v>
      </c>
      <c r="D67" s="35">
        <v>0.4</v>
      </c>
      <c r="E67" s="72"/>
      <c r="F67" s="34"/>
      <c r="G67" s="34"/>
      <c r="H67" s="34"/>
      <c r="M67" s="34"/>
      <c r="N67" s="34"/>
    </row>
    <row r="68" spans="1:23">
      <c r="A68" s="34"/>
      <c r="B68" s="63" t="s">
        <v>176</v>
      </c>
      <c r="C68" s="36" t="s">
        <v>177</v>
      </c>
      <c r="D68" s="35">
        <v>25</v>
      </c>
      <c r="E68" s="37" t="s">
        <v>178</v>
      </c>
      <c r="F68" s="34"/>
      <c r="G68" s="34"/>
      <c r="H68" s="34"/>
      <c r="M68" s="34"/>
      <c r="N68" s="34"/>
    </row>
    <row r="69" spans="1:23" ht="15.75" thickBot="1">
      <c r="A69" s="34"/>
      <c r="B69" s="65" t="s">
        <v>307</v>
      </c>
      <c r="C69" s="38" t="s">
        <v>179</v>
      </c>
      <c r="D69" s="130">
        <v>4</v>
      </c>
      <c r="E69" s="39" t="s">
        <v>180</v>
      </c>
      <c r="F69" s="34"/>
      <c r="G69" s="34"/>
      <c r="H69" s="34"/>
      <c r="M69" s="34"/>
      <c r="N69" s="34"/>
    </row>
    <row r="70" spans="1:23" ht="15.75" thickBot="1">
      <c r="A70" s="34"/>
      <c r="B70" s="195"/>
      <c r="C70" s="196"/>
      <c r="D70" s="197"/>
      <c r="E70" s="34"/>
      <c r="F70" s="34"/>
      <c r="G70" s="34"/>
      <c r="H70" s="34"/>
      <c r="M70" s="34"/>
      <c r="N70" s="34"/>
    </row>
    <row r="71" spans="1:23">
      <c r="A71" s="34"/>
      <c r="B71" s="210" t="s">
        <v>312</v>
      </c>
      <c r="C71" s="212" t="s">
        <v>5</v>
      </c>
      <c r="D71" s="212" t="s">
        <v>2</v>
      </c>
      <c r="E71" s="214" t="s">
        <v>3</v>
      </c>
      <c r="F71" s="34"/>
      <c r="G71" s="34"/>
      <c r="H71" s="34"/>
      <c r="M71" s="34"/>
      <c r="N71" s="34"/>
    </row>
    <row r="72" spans="1:23">
      <c r="A72" s="34"/>
      <c r="B72" s="211"/>
      <c r="C72" s="213"/>
      <c r="D72" s="213"/>
      <c r="E72" s="215"/>
      <c r="F72" s="34"/>
      <c r="G72" s="34"/>
      <c r="H72" s="34"/>
      <c r="M72" s="34"/>
      <c r="N72" s="34"/>
    </row>
    <row r="73" spans="1:23">
      <c r="A73" s="34"/>
      <c r="B73" s="63" t="s">
        <v>313</v>
      </c>
      <c r="C73" s="36" t="s">
        <v>314</v>
      </c>
      <c r="D73" s="35">
        <v>0.5</v>
      </c>
      <c r="E73" s="37" t="s">
        <v>315</v>
      </c>
      <c r="F73" s="34"/>
      <c r="G73" s="34"/>
      <c r="H73" s="34"/>
      <c r="M73" s="34"/>
      <c r="N73" s="34"/>
    </row>
    <row r="74" spans="1:23">
      <c r="A74" s="34"/>
      <c r="B74" s="63" t="s">
        <v>316</v>
      </c>
      <c r="C74" s="36" t="s">
        <v>317</v>
      </c>
      <c r="D74" s="35">
        <v>0.23</v>
      </c>
      <c r="E74" s="37" t="s">
        <v>315</v>
      </c>
      <c r="F74" s="34"/>
      <c r="G74" s="34"/>
      <c r="H74" s="34"/>
      <c r="M74" s="34"/>
      <c r="N74" s="34"/>
    </row>
    <row r="75" spans="1:23">
      <c r="A75" s="34"/>
      <c r="B75" s="63" t="s">
        <v>318</v>
      </c>
      <c r="C75" s="36" t="s">
        <v>318</v>
      </c>
      <c r="D75" s="35" t="s">
        <v>330</v>
      </c>
      <c r="E75" s="37"/>
      <c r="F75" s="34"/>
      <c r="G75" s="34"/>
      <c r="H75" s="34"/>
      <c r="M75" s="34"/>
      <c r="N75" s="34"/>
    </row>
    <row r="76" spans="1:23">
      <c r="A76" s="34"/>
      <c r="B76" s="63" t="s">
        <v>320</v>
      </c>
      <c r="C76" s="36"/>
      <c r="D76" s="35" t="s">
        <v>129</v>
      </c>
      <c r="E76" s="37"/>
      <c r="F76" s="34"/>
      <c r="G76" s="34"/>
      <c r="H76" s="34"/>
      <c r="M76" s="34"/>
      <c r="N76" s="34"/>
    </row>
    <row r="77" spans="1:23">
      <c r="A77" s="34"/>
      <c r="B77" s="63" t="s">
        <v>322</v>
      </c>
      <c r="C77" s="36"/>
      <c r="D77" s="35" t="s">
        <v>323</v>
      </c>
      <c r="E77" s="37"/>
      <c r="F77" s="34"/>
      <c r="G77" s="34"/>
      <c r="H77" s="34"/>
      <c r="M77" s="34"/>
      <c r="N77" s="34"/>
    </row>
    <row r="78" spans="1:23" ht="15.75" thickBot="1">
      <c r="A78" s="34"/>
      <c r="B78" s="65" t="s">
        <v>324</v>
      </c>
      <c r="C78" s="38" t="s">
        <v>325</v>
      </c>
      <c r="D78" s="130">
        <v>4</v>
      </c>
      <c r="E78" s="39" t="s">
        <v>326</v>
      </c>
      <c r="F78" s="34"/>
      <c r="G78" s="34"/>
      <c r="H78" s="34"/>
      <c r="M78" s="34"/>
      <c r="N78" s="34"/>
    </row>
    <row r="79" spans="1:23" ht="15.75" thickBot="1">
      <c r="A79" s="34"/>
      <c r="F79" s="34"/>
      <c r="G79" s="34"/>
      <c r="H79" s="34"/>
      <c r="M79" s="34"/>
      <c r="N79" s="34"/>
    </row>
    <row r="80" spans="1:23" ht="30.75" thickBot="1">
      <c r="A80" s="34"/>
      <c r="B80" s="231" t="s">
        <v>608</v>
      </c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3"/>
    </row>
    <row r="81" spans="1:23" ht="15.75" thickBot="1">
      <c r="A81" s="34"/>
    </row>
    <row r="82" spans="1:23" ht="15.75" thickBot="1">
      <c r="A82" s="34"/>
      <c r="B82" s="294" t="s">
        <v>644</v>
      </c>
      <c r="C82" s="295"/>
      <c r="D82" s="295"/>
      <c r="E82" s="296"/>
      <c r="G82" s="368" t="s">
        <v>645</v>
      </c>
      <c r="H82" s="369"/>
      <c r="I82" s="369"/>
      <c r="J82" s="369"/>
      <c r="K82" s="369"/>
      <c r="L82" s="370"/>
      <c r="N82" s="140" t="s">
        <v>304</v>
      </c>
      <c r="O82" s="147" t="s">
        <v>448</v>
      </c>
      <c r="P82" s="148">
        <f>D36*K92</f>
        <v>1607.9411046142479</v>
      </c>
      <c r="Q82" s="143" t="s">
        <v>153</v>
      </c>
    </row>
    <row r="83" spans="1:23">
      <c r="A83" s="34"/>
      <c r="B83" s="297" t="s">
        <v>113</v>
      </c>
      <c r="C83" s="298" t="s">
        <v>114</v>
      </c>
      <c r="D83" s="298" t="s">
        <v>2</v>
      </c>
      <c r="E83" s="299" t="s">
        <v>115</v>
      </c>
      <c r="G83" s="371" t="s">
        <v>113</v>
      </c>
      <c r="H83" s="372"/>
      <c r="I83" s="372"/>
      <c r="J83" s="318" t="s">
        <v>114</v>
      </c>
      <c r="K83" s="318" t="s">
        <v>2</v>
      </c>
      <c r="L83" s="390" t="s">
        <v>115</v>
      </c>
      <c r="N83" s="140" t="s">
        <v>304</v>
      </c>
      <c r="O83" s="147" t="s">
        <v>448</v>
      </c>
      <c r="P83" s="148">
        <f>P82/0.1019716</f>
        <v>15768.518926978179</v>
      </c>
      <c r="Q83" s="143" t="s">
        <v>251</v>
      </c>
    </row>
    <row r="84" spans="1:23">
      <c r="A84" s="34"/>
      <c r="B84" s="211"/>
      <c r="C84" s="213"/>
      <c r="D84" s="213"/>
      <c r="E84" s="300"/>
      <c r="G84" s="371"/>
      <c r="H84" s="372"/>
      <c r="I84" s="372"/>
      <c r="J84" s="318"/>
      <c r="K84" s="318"/>
      <c r="L84" s="390"/>
    </row>
    <row r="85" spans="1:23">
      <c r="A85" s="34"/>
      <c r="B85" s="63" t="s">
        <v>616</v>
      </c>
      <c r="C85" s="36" t="s">
        <v>617</v>
      </c>
      <c r="D85" s="31" t="str" cm="1">
        <f t="array" ref="D85">INDEX(Auxiliar!D8:H30,Auxiliar!D2,5)</f>
        <v>Grupo II</v>
      </c>
      <c r="E85" s="37"/>
      <c r="G85" s="263" t="s">
        <v>624</v>
      </c>
      <c r="H85" s="264"/>
      <c r="I85" s="264"/>
      <c r="J85" s="36" t="s">
        <v>647</v>
      </c>
      <c r="K85" s="31">
        <f>((I47-D27)/(I47-D27))*D40</f>
        <v>160</v>
      </c>
      <c r="L85" s="37" t="s">
        <v>19</v>
      </c>
    </row>
    <row r="86" spans="1:23">
      <c r="A86" s="34"/>
      <c r="B86" s="63" t="s">
        <v>618</v>
      </c>
      <c r="C86" s="36" t="s">
        <v>49</v>
      </c>
      <c r="D86" s="31" cm="1">
        <f t="array" ref="D86">INDEX(Auxiliar!D8:G30,Auxiliar!D2,3)</f>
        <v>160</v>
      </c>
      <c r="E86" s="37" t="s">
        <v>19</v>
      </c>
      <c r="G86" s="263" t="s">
        <v>625</v>
      </c>
      <c r="H86" s="264"/>
      <c r="I86" s="264"/>
      <c r="J86" s="36" t="s">
        <v>646</v>
      </c>
      <c r="K86" s="31">
        <f>(M31/I47)*D41</f>
        <v>171</v>
      </c>
      <c r="L86" s="37" t="s">
        <v>19</v>
      </c>
    </row>
    <row r="87" spans="1:23">
      <c r="A87" s="34"/>
      <c r="B87" s="63" t="s">
        <v>619</v>
      </c>
      <c r="C87" s="36" t="s">
        <v>50</v>
      </c>
      <c r="D87" s="31" cm="1">
        <f t="array" ref="D87">INDEX(Auxiliar!D8:G30,Auxiliar!D2,4)</f>
        <v>171</v>
      </c>
      <c r="E87" s="37" t="s">
        <v>19</v>
      </c>
      <c r="G87" s="263" t="s">
        <v>638</v>
      </c>
      <c r="H87" s="264"/>
      <c r="I87" s="264"/>
      <c r="J87" s="36"/>
      <c r="K87" s="31">
        <f>MAX(K85:K86)</f>
        <v>171</v>
      </c>
      <c r="L87" s="37"/>
    </row>
    <row r="88" spans="1:23" ht="15.75" thickBot="1">
      <c r="A88" s="34"/>
      <c r="B88" s="65" t="s">
        <v>620</v>
      </c>
      <c r="C88" s="267" t="str">
        <f>IF(OR(D85="Grupo I",D85="Grupo II",D85="Grupo III",D85="Grupo IV"),"PLACAS CIRCULARES CON SOLAPE",IF(OR(D86&lt;=160,D87&lt;=171),"PLACAS CIRCULARES CON SOLAPE","OBLIGATORIO ANILLO ANULAR"))</f>
        <v>PLACAS CIRCULARES CON SOLAPE</v>
      </c>
      <c r="D88" s="268"/>
      <c r="E88" s="269"/>
      <c r="F88" s="34"/>
      <c r="G88" s="263" t="s">
        <v>306</v>
      </c>
      <c r="H88" s="264"/>
      <c r="I88" s="264"/>
      <c r="J88" s="36" t="s">
        <v>8</v>
      </c>
      <c r="K88" s="31" cm="1">
        <f t="array" ref="K88">IF(C88="OBLIGATORIO ANILLO ANULAR",ROUNDUP(INDEX(Auxiliar!L45:O49,Auxiliar!M42,Auxiliar!L42)+D27,0),ROUNDUP(6+D27,0))</f>
        <v>7</v>
      </c>
      <c r="L88" s="37" t="s">
        <v>11</v>
      </c>
      <c r="M88" s="34"/>
      <c r="N88" s="34"/>
    </row>
    <row r="89" spans="1:23">
      <c r="A89" s="34"/>
      <c r="F89" s="34"/>
      <c r="G89" s="263" t="s">
        <v>639</v>
      </c>
      <c r="H89" s="264"/>
      <c r="I89" s="264"/>
      <c r="J89" s="36" t="s">
        <v>256</v>
      </c>
      <c r="K89" s="31">
        <f>IF((2*K88*SQRT(D48/(2*(9.81/1000)*D63*D21)))&lt;600,600,2*K88*SQRT(D48/(2*(9.81/1000)*D63*D21)))</f>
        <v>600</v>
      </c>
      <c r="L89" s="37" t="s">
        <v>11</v>
      </c>
      <c r="M89" s="34"/>
      <c r="N89" s="34"/>
    </row>
    <row r="90" spans="1:23">
      <c r="A90" s="34"/>
      <c r="B90" s="34"/>
      <c r="C90" s="34"/>
      <c r="D90" s="34"/>
      <c r="E90" s="34"/>
      <c r="F90" s="34"/>
      <c r="G90" s="263" t="s">
        <v>640</v>
      </c>
      <c r="H90" s="264"/>
      <c r="I90" s="264"/>
      <c r="J90" s="36" t="s">
        <v>648</v>
      </c>
      <c r="K90" s="31">
        <v>50</v>
      </c>
      <c r="L90" s="37" t="s">
        <v>11</v>
      </c>
      <c r="M90" s="34"/>
      <c r="N90" s="34"/>
    </row>
    <row r="91" spans="1:23">
      <c r="A91" s="34"/>
      <c r="B91" s="34"/>
      <c r="C91" s="34"/>
      <c r="D91" s="34"/>
      <c r="E91" s="34"/>
      <c r="F91" s="34"/>
      <c r="G91" s="263" t="s">
        <v>641</v>
      </c>
      <c r="H91" s="264"/>
      <c r="I91" s="264"/>
      <c r="J91" s="36" t="s">
        <v>650</v>
      </c>
      <c r="K91" s="31">
        <f>PI()*((D20/2)+(K90/1000))^2</f>
        <v>29.224665660019046</v>
      </c>
      <c r="L91" s="37" t="s">
        <v>642</v>
      </c>
      <c r="M91" s="34"/>
      <c r="N91" s="34"/>
    </row>
    <row r="92" spans="1:23" ht="15.75" thickBot="1">
      <c r="A92" s="34"/>
      <c r="B92" s="34"/>
      <c r="C92" s="34"/>
      <c r="D92" s="34"/>
      <c r="E92" s="34"/>
      <c r="F92" s="34"/>
      <c r="G92" s="265" t="s">
        <v>643</v>
      </c>
      <c r="H92" s="266"/>
      <c r="I92" s="266"/>
      <c r="J92" s="38" t="s">
        <v>649</v>
      </c>
      <c r="K92" s="97">
        <f>(K88/1000)*K91</f>
        <v>0.20457265962013332</v>
      </c>
      <c r="L92" s="39" t="s">
        <v>450</v>
      </c>
      <c r="M92" s="34"/>
      <c r="N92" s="34"/>
    </row>
    <row r="93" spans="1:23" ht="15.75" thickBot="1">
      <c r="A93" s="34"/>
      <c r="B93" s="34"/>
      <c r="C93" s="34"/>
      <c r="D93" s="34"/>
      <c r="E93" s="34"/>
      <c r="F93" s="34"/>
      <c r="G93" s="34"/>
      <c r="H93" s="34"/>
      <c r="K93" s="83"/>
      <c r="M93" s="34"/>
      <c r="N93" s="34"/>
    </row>
    <row r="94" spans="1:23" ht="30.75" thickBot="1">
      <c r="B94" s="231" t="s">
        <v>652</v>
      </c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3"/>
    </row>
    <row r="95" spans="1:23" ht="22.5" thickBot="1"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</row>
    <row r="96" spans="1:23" ht="15.75" thickBot="1">
      <c r="F96" s="34"/>
      <c r="G96" s="394" t="s">
        <v>126</v>
      </c>
      <c r="H96" s="395"/>
      <c r="I96" s="395"/>
      <c r="J96" s="395"/>
      <c r="K96" s="395"/>
      <c r="L96" s="395"/>
      <c r="M96" s="396"/>
      <c r="N96" s="34"/>
      <c r="O96" s="294" t="s">
        <v>151</v>
      </c>
      <c r="P96" s="295"/>
      <c r="Q96" s="295"/>
      <c r="R96" s="295"/>
      <c r="S96" s="295"/>
      <c r="T96" s="296"/>
    </row>
    <row r="97" spans="2:26">
      <c r="B97" s="294" t="s">
        <v>112</v>
      </c>
      <c r="C97" s="295"/>
      <c r="D97" s="295"/>
      <c r="E97" s="296"/>
      <c r="F97" s="34"/>
      <c r="G97" s="391" t="s">
        <v>113</v>
      </c>
      <c r="H97" s="392"/>
      <c r="I97" s="392"/>
      <c r="J97" s="393"/>
      <c r="K97" s="318" t="s">
        <v>114</v>
      </c>
      <c r="L97" s="318" t="s">
        <v>2</v>
      </c>
      <c r="M97" s="390" t="s">
        <v>115</v>
      </c>
      <c r="N97" s="34"/>
      <c r="O97" s="426" t="s">
        <v>113</v>
      </c>
      <c r="P97" s="427"/>
      <c r="Q97" s="428"/>
      <c r="R97" s="318" t="s">
        <v>114</v>
      </c>
      <c r="S97" s="318" t="s">
        <v>2</v>
      </c>
      <c r="T97" s="390" t="s">
        <v>115</v>
      </c>
    </row>
    <row r="98" spans="2:26">
      <c r="B98" s="297" t="s">
        <v>113</v>
      </c>
      <c r="C98" s="298" t="s">
        <v>114</v>
      </c>
      <c r="D98" s="298" t="s">
        <v>2</v>
      </c>
      <c r="E98" s="299" t="s">
        <v>115</v>
      </c>
      <c r="F98" s="34"/>
      <c r="G98" s="391"/>
      <c r="H98" s="392"/>
      <c r="I98" s="392"/>
      <c r="J98" s="393"/>
      <c r="K98" s="298"/>
      <c r="L98" s="318"/>
      <c r="M98" s="390"/>
      <c r="N98" s="34"/>
      <c r="O98" s="391"/>
      <c r="P98" s="392"/>
      <c r="Q98" s="393"/>
      <c r="R98" s="318"/>
      <c r="S98" s="318"/>
      <c r="T98" s="390"/>
      <c r="Y98" s="34"/>
      <c r="Z98" s="34"/>
    </row>
    <row r="99" spans="2:26">
      <c r="B99" s="211"/>
      <c r="C99" s="213"/>
      <c r="D99" s="213"/>
      <c r="E99" s="300"/>
      <c r="F99" s="34"/>
      <c r="G99" s="250" t="s">
        <v>127</v>
      </c>
      <c r="H99" s="251"/>
      <c r="I99" s="251"/>
      <c r="J99" s="252"/>
      <c r="K99" s="36"/>
      <c r="L99" s="78" t="str">
        <f>(IF(AND(9.5&lt;=D28,D28&lt;=37),"CUMPLE","NO CUMPLE"))</f>
        <v>CUMPLE</v>
      </c>
      <c r="M99" s="37"/>
      <c r="N99" s="34"/>
      <c r="O99" s="248" t="s">
        <v>152</v>
      </c>
      <c r="P99" s="249"/>
      <c r="Q99" s="249"/>
      <c r="R99" s="36" t="s">
        <v>359</v>
      </c>
      <c r="S99" s="73">
        <f>PI()*D20/2*((D20/2)/COS(D29))*(L122/1000)*(D36)</f>
        <v>1802.6118517278405</v>
      </c>
      <c r="T99" s="37" t="s">
        <v>153</v>
      </c>
      <c r="Y99" s="34"/>
      <c r="Z99" s="34"/>
    </row>
    <row r="100" spans="2:26">
      <c r="B100" s="63" t="s">
        <v>116</v>
      </c>
      <c r="C100" s="36" t="s">
        <v>117</v>
      </c>
      <c r="D100" s="121">
        <f>PI()*D20/2*((D20/2)/COS(D29))*(D31/1000)*(D36)</f>
        <v>2929.2442590577402</v>
      </c>
      <c r="E100" s="37" t="s">
        <v>118</v>
      </c>
      <c r="F100" s="34"/>
      <c r="G100" s="63" t="s">
        <v>128</v>
      </c>
      <c r="H100" s="80"/>
      <c r="I100" s="80"/>
      <c r="J100" s="80"/>
      <c r="K100" s="36" t="s">
        <v>129</v>
      </c>
      <c r="L100" s="35">
        <v>199000</v>
      </c>
      <c r="M100" s="37" t="s">
        <v>19</v>
      </c>
      <c r="N100" s="34"/>
      <c r="O100" s="248" t="s">
        <v>445</v>
      </c>
      <c r="P100" s="249"/>
      <c r="Q100" s="249"/>
      <c r="R100" s="36" t="s">
        <v>446</v>
      </c>
      <c r="S100" s="73">
        <f>PI()*D20/2*((D20/2)/COS(D29))*((L122-D27)/1000)*(D36)</f>
        <v>1577.2853702618604</v>
      </c>
      <c r="T100" s="37" t="s">
        <v>153</v>
      </c>
      <c r="Y100" s="34"/>
      <c r="Z100" s="34"/>
    </row>
    <row r="101" spans="2:26">
      <c r="B101" s="63" t="s">
        <v>119</v>
      </c>
      <c r="C101" s="36" t="s">
        <v>120</v>
      </c>
      <c r="D101" s="31">
        <f>D100/((PI()*(D20/2)*D102))</f>
        <v>102.17999999999999</v>
      </c>
      <c r="E101" s="37" t="s">
        <v>461</v>
      </c>
      <c r="F101" s="34"/>
      <c r="G101" s="421" t="s">
        <v>130</v>
      </c>
      <c r="H101" s="422"/>
      <c r="I101" s="422"/>
      <c r="J101" s="422"/>
      <c r="K101" s="423"/>
      <c r="L101" s="423"/>
      <c r="M101" s="424"/>
      <c r="N101" s="34"/>
      <c r="O101" s="248" t="s">
        <v>152</v>
      </c>
      <c r="P101" s="249"/>
      <c r="Q101" s="249"/>
      <c r="R101" s="36" t="s">
        <v>359</v>
      </c>
      <c r="S101" s="73">
        <f>S99/0.1019716</f>
        <v>17677.587207887693</v>
      </c>
      <c r="T101" s="37" t="s">
        <v>251</v>
      </c>
      <c r="Y101" s="34"/>
      <c r="Z101" s="34"/>
    </row>
    <row r="102" spans="2:26">
      <c r="B102" s="63" t="s">
        <v>121</v>
      </c>
      <c r="C102" s="36" t="s">
        <v>15</v>
      </c>
      <c r="D102" s="121">
        <f>(D20/2)/COS(D29)</f>
        <v>3.0417152955737969</v>
      </c>
      <c r="E102" s="37" t="s">
        <v>10</v>
      </c>
      <c r="F102" s="34"/>
      <c r="G102" s="250" t="s">
        <v>131</v>
      </c>
      <c r="H102" s="251"/>
      <c r="I102" s="251"/>
      <c r="J102" s="252"/>
      <c r="K102" s="158"/>
      <c r="L102" s="73">
        <f>D101+D65+(D67*D61/1000000)</f>
        <v>102.1800004</v>
      </c>
      <c r="M102" s="37" t="s">
        <v>104</v>
      </c>
      <c r="N102" s="34"/>
      <c r="O102" s="248" t="s">
        <v>445</v>
      </c>
      <c r="P102" s="249"/>
      <c r="Q102" s="249"/>
      <c r="R102" s="36" t="s">
        <v>446</v>
      </c>
      <c r="S102" s="73">
        <f>S100/0.1019716</f>
        <v>15467.88880690173</v>
      </c>
      <c r="T102" s="37" t="s">
        <v>251</v>
      </c>
      <c r="W102" s="34"/>
      <c r="X102" s="34"/>
      <c r="Y102" s="34"/>
      <c r="Z102" s="34"/>
    </row>
    <row r="103" spans="2:26">
      <c r="B103" s="63" t="s">
        <v>455</v>
      </c>
      <c r="C103" s="36" t="s">
        <v>456</v>
      </c>
      <c r="D103" s="208">
        <f>(SIN(D29))*D102</f>
        <v>0.50202782724425865</v>
      </c>
      <c r="E103" s="209" t="s">
        <v>10</v>
      </c>
      <c r="F103" s="34"/>
      <c r="G103" s="250" t="s">
        <v>132</v>
      </c>
      <c r="H103" s="251"/>
      <c r="I103" s="251"/>
      <c r="J103" s="252"/>
      <c r="K103" s="158"/>
      <c r="L103" s="73">
        <f>L102*0.0098</f>
        <v>1.00136400392</v>
      </c>
      <c r="M103" s="37" t="s">
        <v>133</v>
      </c>
      <c r="N103" s="34"/>
      <c r="O103" s="248" t="s">
        <v>154</v>
      </c>
      <c r="P103" s="249"/>
      <c r="Q103" s="249"/>
      <c r="R103" s="36"/>
      <c r="S103" s="73">
        <f>S99/((PI()*(D20/2)*D102))</f>
        <v>62.88</v>
      </c>
      <c r="T103" s="37" t="s">
        <v>104</v>
      </c>
      <c r="U103" s="34"/>
      <c r="V103" s="34"/>
      <c r="W103" s="34"/>
      <c r="X103" s="34"/>
      <c r="Y103" s="34"/>
      <c r="Z103" s="34"/>
    </row>
    <row r="104" spans="2:26">
      <c r="B104" s="63" t="s">
        <v>122</v>
      </c>
      <c r="C104" s="36" t="s">
        <v>123</v>
      </c>
      <c r="D104" s="121">
        <f>(D20/2)/SIN(D29)</f>
        <v>18.176573870040883</v>
      </c>
      <c r="E104" s="37" t="s">
        <v>10</v>
      </c>
      <c r="F104" s="34"/>
      <c r="G104" s="250" t="s">
        <v>134</v>
      </c>
      <c r="H104" s="251"/>
      <c r="I104" s="251"/>
      <c r="J104" s="252"/>
      <c r="K104" s="158"/>
      <c r="L104" s="73">
        <f>D101+(D61/10000)+0.4*D65</f>
        <v>102.1801</v>
      </c>
      <c r="M104" s="37" t="s">
        <v>104</v>
      </c>
      <c r="N104" s="34"/>
      <c r="O104" s="429" t="s">
        <v>155</v>
      </c>
      <c r="P104" s="430"/>
      <c r="Q104" s="430"/>
      <c r="R104" s="430"/>
      <c r="S104" s="430"/>
      <c r="T104" s="431"/>
      <c r="U104" s="34"/>
      <c r="V104" s="34"/>
      <c r="W104" s="34"/>
      <c r="X104" s="34"/>
      <c r="Y104" s="34"/>
      <c r="Z104" s="34"/>
    </row>
    <row r="105" spans="2:26">
      <c r="B105" s="63" t="s">
        <v>457</v>
      </c>
      <c r="C105" s="36" t="s">
        <v>458</v>
      </c>
      <c r="D105" s="31">
        <f>D21/2.2</f>
        <v>4.0909090909090908</v>
      </c>
      <c r="E105" s="37" t="s">
        <v>10</v>
      </c>
      <c r="F105" s="34"/>
      <c r="G105" s="250" t="s">
        <v>135</v>
      </c>
      <c r="H105" s="251"/>
      <c r="I105" s="251"/>
      <c r="J105" s="252"/>
      <c r="K105" s="158"/>
      <c r="L105" s="73">
        <f>L104*0.0098</f>
        <v>1.00136498</v>
      </c>
      <c r="M105" s="37" t="s">
        <v>133</v>
      </c>
      <c r="N105" s="34"/>
      <c r="O105" s="248" t="s">
        <v>131</v>
      </c>
      <c r="P105" s="249"/>
      <c r="Q105" s="249"/>
      <c r="R105" s="36"/>
      <c r="S105" s="73">
        <f>S103+D65+(D67*D61/1000000)</f>
        <v>62.8800004</v>
      </c>
      <c r="T105" s="37" t="s">
        <v>104</v>
      </c>
      <c r="U105" s="34"/>
      <c r="V105" s="34"/>
      <c r="W105" s="34"/>
      <c r="X105" s="34"/>
      <c r="Y105" s="34"/>
      <c r="Z105" s="34"/>
    </row>
    <row r="106" spans="2:26" ht="15.75" thickBot="1">
      <c r="B106" s="65" t="s">
        <v>459</v>
      </c>
      <c r="C106" s="38" t="s">
        <v>460</v>
      </c>
      <c r="D106" s="97">
        <f>D103/2.2</f>
        <v>0.22819446692920847</v>
      </c>
      <c r="E106" s="39" t="s">
        <v>10</v>
      </c>
      <c r="F106" s="34"/>
      <c r="G106" s="250" t="s">
        <v>136</v>
      </c>
      <c r="H106" s="251"/>
      <c r="I106" s="251"/>
      <c r="J106" s="252"/>
      <c r="K106" s="158"/>
      <c r="L106" s="73">
        <f>(IF(L103&gt;L105,L103,L105))</f>
        <v>1.00136498</v>
      </c>
      <c r="M106" s="37" t="s">
        <v>133</v>
      </c>
      <c r="N106" s="34"/>
      <c r="O106" s="248" t="s">
        <v>132</v>
      </c>
      <c r="P106" s="249"/>
      <c r="Q106" s="249"/>
      <c r="R106" s="36"/>
      <c r="S106" s="73">
        <f>S105*0.0098</f>
        <v>0.61622400391999999</v>
      </c>
      <c r="T106" s="37" t="s">
        <v>133</v>
      </c>
      <c r="U106" s="34"/>
      <c r="V106" s="34"/>
      <c r="W106" s="34"/>
      <c r="X106" s="34"/>
      <c r="Y106" s="34"/>
      <c r="Z106" s="34"/>
    </row>
    <row r="107" spans="2:26">
      <c r="F107" s="34"/>
      <c r="G107" s="250" t="s">
        <v>137</v>
      </c>
      <c r="H107" s="251"/>
      <c r="I107" s="251"/>
      <c r="J107" s="252"/>
      <c r="K107" s="158" t="s">
        <v>138</v>
      </c>
      <c r="L107" s="73">
        <f>L106</f>
        <v>1.00136498</v>
      </c>
      <c r="M107" s="75"/>
      <c r="N107" s="34"/>
      <c r="O107" s="248" t="s">
        <v>134</v>
      </c>
      <c r="P107" s="249"/>
      <c r="Q107" s="249"/>
      <c r="R107" s="36"/>
      <c r="S107" s="73">
        <f>S103+(D61/10000)+0.4*D65</f>
        <v>62.880100000000006</v>
      </c>
      <c r="T107" s="37" t="s">
        <v>104</v>
      </c>
      <c r="U107" s="34"/>
      <c r="V107" s="34"/>
      <c r="W107" s="34"/>
      <c r="X107" s="34"/>
      <c r="Y107" s="34"/>
      <c r="Z107" s="34"/>
    </row>
    <row r="108" spans="2:26">
      <c r="B108" s="34"/>
      <c r="C108" s="34"/>
      <c r="D108" s="34"/>
      <c r="E108" s="34"/>
      <c r="F108" s="34"/>
      <c r="G108" s="250" t="s">
        <v>139</v>
      </c>
      <c r="H108" s="251"/>
      <c r="I108" s="251"/>
      <c r="J108" s="252"/>
      <c r="K108" s="158"/>
      <c r="L108" s="73">
        <f>(((2*1000*D20)/SIN(D29))*SQRT((L107/(1000*L100))))+D27</f>
        <v>6.1575289977184759</v>
      </c>
      <c r="M108" s="37" t="s">
        <v>11</v>
      </c>
      <c r="N108" s="34"/>
      <c r="O108" s="248" t="s">
        <v>135</v>
      </c>
      <c r="P108" s="249"/>
      <c r="Q108" s="249"/>
      <c r="R108" s="36"/>
      <c r="S108" s="73">
        <f>S107*0.0098</f>
        <v>0.61622498000000003</v>
      </c>
      <c r="T108" s="37" t="s">
        <v>133</v>
      </c>
      <c r="U108" s="34"/>
      <c r="V108" s="34"/>
      <c r="W108" s="34"/>
      <c r="X108" s="34"/>
      <c r="Y108" s="34"/>
      <c r="Z108" s="34"/>
    </row>
    <row r="109" spans="2:26">
      <c r="B109" s="34"/>
      <c r="C109" s="34"/>
      <c r="D109" s="34"/>
      <c r="E109" s="34"/>
      <c r="F109" s="34"/>
      <c r="G109" s="250" t="s">
        <v>140</v>
      </c>
      <c r="H109" s="251"/>
      <c r="I109" s="251"/>
      <c r="J109" s="252"/>
      <c r="K109" s="158"/>
      <c r="L109" s="78" t="str">
        <f>IF(L108&gt;=5,"CUMPLE","TOMAR 5mm")</f>
        <v>CUMPLE</v>
      </c>
      <c r="M109" s="37"/>
      <c r="N109" s="34"/>
      <c r="O109" s="248" t="s">
        <v>142</v>
      </c>
      <c r="P109" s="249"/>
      <c r="Q109" s="249"/>
      <c r="R109" s="36"/>
      <c r="S109" s="73">
        <f>S103+D66+((D67*D61)/10000)</f>
        <v>62.880040000000001</v>
      </c>
      <c r="T109" s="37" t="s">
        <v>104</v>
      </c>
      <c r="U109" s="34"/>
      <c r="V109" s="34"/>
      <c r="W109" s="34"/>
      <c r="X109" s="34"/>
      <c r="Y109" s="34"/>
      <c r="Z109" s="34"/>
    </row>
    <row r="110" spans="2:26">
      <c r="B110" s="34"/>
      <c r="C110" s="34"/>
      <c r="D110" s="34"/>
      <c r="E110" s="34"/>
      <c r="F110" s="34"/>
      <c r="G110" s="250" t="s">
        <v>449</v>
      </c>
      <c r="H110" s="251"/>
      <c r="I110" s="251"/>
      <c r="J110" s="252"/>
      <c r="K110" s="36" t="s">
        <v>8</v>
      </c>
      <c r="L110" s="73">
        <f>IF(L109="CUMPLE",L108,5)</f>
        <v>6.1575289977184759</v>
      </c>
      <c r="M110" s="37" t="s">
        <v>11</v>
      </c>
      <c r="N110" s="34"/>
      <c r="O110" s="248" t="s">
        <v>143</v>
      </c>
      <c r="P110" s="249"/>
      <c r="Q110" s="249"/>
      <c r="R110" s="36"/>
      <c r="S110" s="73">
        <f>S109*0.0098</f>
        <v>0.61622439200000001</v>
      </c>
      <c r="T110" s="37" t="s">
        <v>133</v>
      </c>
      <c r="U110" s="34"/>
      <c r="V110" s="34"/>
      <c r="W110" s="34"/>
      <c r="X110" s="34"/>
      <c r="Y110" s="34"/>
      <c r="Z110" s="34"/>
    </row>
    <row r="111" spans="2:26">
      <c r="G111" s="425" t="s">
        <v>141</v>
      </c>
      <c r="H111" s="423"/>
      <c r="I111" s="423"/>
      <c r="J111" s="423"/>
      <c r="K111" s="423"/>
      <c r="L111" s="423"/>
      <c r="M111" s="424"/>
      <c r="O111" s="248" t="s">
        <v>144</v>
      </c>
      <c r="P111" s="249"/>
      <c r="Q111" s="249"/>
      <c r="R111" s="36"/>
      <c r="S111" s="73">
        <f>S103+(D61/10000)+0.4*D66</f>
        <v>62.880100000000006</v>
      </c>
      <c r="T111" s="37" t="s">
        <v>104</v>
      </c>
    </row>
    <row r="112" spans="2:26">
      <c r="G112" s="250" t="s">
        <v>142</v>
      </c>
      <c r="H112" s="251"/>
      <c r="I112" s="251"/>
      <c r="J112" s="252"/>
      <c r="K112" s="36"/>
      <c r="L112" s="73">
        <f>D101+D66+((D67*D61)/10000)</f>
        <v>102.18003999999999</v>
      </c>
      <c r="M112" s="37" t="s">
        <v>104</v>
      </c>
      <c r="O112" s="248" t="s">
        <v>145</v>
      </c>
      <c r="P112" s="249"/>
      <c r="Q112" s="249"/>
      <c r="R112" s="36"/>
      <c r="S112" s="73">
        <f>S111*0.0098</f>
        <v>0.61622498000000003</v>
      </c>
      <c r="T112" s="37" t="s">
        <v>133</v>
      </c>
    </row>
    <row r="113" spans="7:20">
      <c r="G113" s="250" t="s">
        <v>143</v>
      </c>
      <c r="H113" s="251"/>
      <c r="I113" s="251"/>
      <c r="J113" s="252"/>
      <c r="K113" s="36"/>
      <c r="L113" s="73">
        <f>L112*0.0098</f>
        <v>1.0013643919999999</v>
      </c>
      <c r="M113" s="37" t="s">
        <v>133</v>
      </c>
      <c r="O113" s="248" t="s">
        <v>156</v>
      </c>
      <c r="P113" s="249"/>
      <c r="Q113" s="249"/>
      <c r="R113" s="36" t="s">
        <v>157</v>
      </c>
      <c r="S113" s="35">
        <v>102</v>
      </c>
      <c r="T113" s="37" t="s">
        <v>104</v>
      </c>
    </row>
    <row r="114" spans="7:20">
      <c r="G114" s="250" t="s">
        <v>144</v>
      </c>
      <c r="H114" s="251"/>
      <c r="I114" s="251"/>
      <c r="J114" s="252"/>
      <c r="K114" s="36"/>
      <c r="L114" s="73">
        <f>D101+(D61/10000)+0.4*D66</f>
        <v>102.1801</v>
      </c>
      <c r="M114" s="37" t="s">
        <v>104</v>
      </c>
      <c r="O114" s="248" t="s">
        <v>158</v>
      </c>
      <c r="P114" s="249"/>
      <c r="Q114" s="249"/>
      <c r="R114" s="36"/>
      <c r="S114" s="73">
        <f>S103+S113+(D67*D61/1000000)</f>
        <v>164.8800004</v>
      </c>
      <c r="T114" s="37" t="s">
        <v>94</v>
      </c>
    </row>
    <row r="115" spans="7:20">
      <c r="G115" s="250" t="s">
        <v>145</v>
      </c>
      <c r="H115" s="251"/>
      <c r="I115" s="251"/>
      <c r="J115" s="252"/>
      <c r="K115" s="36"/>
      <c r="L115" s="73">
        <f>L114*0.0098</f>
        <v>1.00136498</v>
      </c>
      <c r="M115" s="37" t="s">
        <v>133</v>
      </c>
      <c r="O115" s="248" t="s">
        <v>159</v>
      </c>
      <c r="P115" s="249"/>
      <c r="Q115" s="249"/>
      <c r="R115" s="36"/>
      <c r="S115" s="73">
        <f>S114*0.0098</f>
        <v>1.61582400392</v>
      </c>
      <c r="T115" s="37" t="s">
        <v>133</v>
      </c>
    </row>
    <row r="116" spans="7:20">
      <c r="G116" s="250" t="s">
        <v>136</v>
      </c>
      <c r="H116" s="251"/>
      <c r="I116" s="251"/>
      <c r="J116" s="252"/>
      <c r="K116" s="36"/>
      <c r="L116" s="73">
        <f>(IF(L113&gt;L115,L113,L115))</f>
        <v>1.00136498</v>
      </c>
      <c r="M116" s="37" t="s">
        <v>133</v>
      </c>
      <c r="O116" s="248" t="s">
        <v>160</v>
      </c>
      <c r="P116" s="249"/>
      <c r="Q116" s="249"/>
      <c r="R116" s="36"/>
      <c r="S116" s="73">
        <f>S103+(D61/10000)+0.4*S113</f>
        <v>103.68010000000001</v>
      </c>
      <c r="T116" s="37" t="s">
        <v>94</v>
      </c>
    </row>
    <row r="117" spans="7:20">
      <c r="G117" s="250" t="s">
        <v>146</v>
      </c>
      <c r="H117" s="251"/>
      <c r="I117" s="251"/>
      <c r="J117" s="252"/>
      <c r="K117" s="36" t="s">
        <v>147</v>
      </c>
      <c r="L117" s="73">
        <f>L116</f>
        <v>1.00136498</v>
      </c>
      <c r="M117" s="75"/>
      <c r="O117" s="248" t="s">
        <v>161</v>
      </c>
      <c r="P117" s="249"/>
      <c r="Q117" s="249"/>
      <c r="R117" s="36"/>
      <c r="S117" s="73">
        <f>S116*0.0098</f>
        <v>1.0160649800000001</v>
      </c>
      <c r="T117" s="37" t="s">
        <v>133</v>
      </c>
    </row>
    <row r="118" spans="7:20">
      <c r="G118" s="250" t="s">
        <v>148</v>
      </c>
      <c r="H118" s="251"/>
      <c r="I118" s="251"/>
      <c r="J118" s="252"/>
      <c r="K118" s="36"/>
      <c r="L118" s="73">
        <f>(((2*1000*D20)/SIN(D29))*SQRT((L117/(1.33*1000*L100))))+D27</f>
        <v>5.4721448120314333</v>
      </c>
      <c r="M118" s="37" t="s">
        <v>11</v>
      </c>
      <c r="O118" s="248" t="s">
        <v>136</v>
      </c>
      <c r="P118" s="249"/>
      <c r="Q118" s="249"/>
      <c r="R118" s="36"/>
      <c r="S118" s="73">
        <f>(IF(S115&gt;S117,S115,S117))</f>
        <v>1.61582400392</v>
      </c>
      <c r="T118" s="37" t="s">
        <v>133</v>
      </c>
    </row>
    <row r="119" spans="7:20">
      <c r="G119" s="250" t="s">
        <v>140</v>
      </c>
      <c r="H119" s="251"/>
      <c r="I119" s="251"/>
      <c r="J119" s="252"/>
      <c r="K119" s="36"/>
      <c r="L119" s="78" t="str">
        <f>IF(L118&gt;=5,"CUMPLE","TOMAR 5mm")</f>
        <v>CUMPLE</v>
      </c>
      <c r="M119" s="37"/>
      <c r="O119" s="271" t="s">
        <v>162</v>
      </c>
      <c r="P119" s="272"/>
      <c r="Q119" s="272"/>
      <c r="R119" s="77" t="s">
        <v>163</v>
      </c>
      <c r="S119" s="78">
        <f>MAX(S118,L106,L116)</f>
        <v>1.61582400392</v>
      </c>
      <c r="T119" s="79" t="s">
        <v>133</v>
      </c>
    </row>
    <row r="120" spans="7:20">
      <c r="G120" s="250" t="s">
        <v>449</v>
      </c>
      <c r="H120" s="251"/>
      <c r="I120" s="251"/>
      <c r="J120" s="252"/>
      <c r="K120" s="36" t="s">
        <v>8</v>
      </c>
      <c r="L120" s="73">
        <f>IF(L119="CUMPLE",L118,5)</f>
        <v>5.4721448120314333</v>
      </c>
      <c r="M120" s="37" t="s">
        <v>11</v>
      </c>
      <c r="O120" s="248" t="s">
        <v>164</v>
      </c>
      <c r="P120" s="249"/>
      <c r="Q120" s="249"/>
      <c r="R120" s="36" t="s">
        <v>165</v>
      </c>
      <c r="S120" s="73">
        <f>D38</f>
        <v>250</v>
      </c>
      <c r="T120" s="37" t="s">
        <v>19</v>
      </c>
    </row>
    <row r="121" spans="7:20">
      <c r="G121" s="250" t="s">
        <v>149</v>
      </c>
      <c r="H121" s="251"/>
      <c r="I121" s="251"/>
      <c r="J121" s="252"/>
      <c r="K121" s="36" t="s">
        <v>124</v>
      </c>
      <c r="L121" s="73">
        <f>IF(L110&gt;L120,L110+D27,L120+D27)</f>
        <v>7.1575289977184759</v>
      </c>
      <c r="M121" s="37" t="s">
        <v>11</v>
      </c>
      <c r="O121" s="248" t="s">
        <v>166</v>
      </c>
      <c r="P121" s="249"/>
      <c r="Q121" s="249"/>
      <c r="R121" s="36" t="s">
        <v>167</v>
      </c>
      <c r="S121" s="73">
        <f>0.6*S120</f>
        <v>150</v>
      </c>
      <c r="T121" s="37" t="s">
        <v>19</v>
      </c>
    </row>
    <row r="122" spans="7:20" ht="15.75" thickBot="1">
      <c r="G122" s="291" t="s">
        <v>150</v>
      </c>
      <c r="H122" s="292"/>
      <c r="I122" s="292"/>
      <c r="J122" s="293"/>
      <c r="K122" s="160"/>
      <c r="L122" s="51">
        <f>EVEN(L121)</f>
        <v>8</v>
      </c>
      <c r="M122" s="76" t="s">
        <v>11</v>
      </c>
      <c r="O122" s="271" t="s">
        <v>168</v>
      </c>
      <c r="P122" s="272"/>
      <c r="Q122" s="272"/>
      <c r="R122" s="77" t="s">
        <v>169</v>
      </c>
      <c r="S122" s="78">
        <f>((S118*D20^2)/(8*(S121*1000)*TAN(D29)))*1000000</f>
        <v>289.67350505462065</v>
      </c>
      <c r="T122" s="79" t="s">
        <v>170</v>
      </c>
    </row>
    <row r="123" spans="7:20">
      <c r="O123" s="248" t="s">
        <v>171</v>
      </c>
      <c r="P123" s="249"/>
      <c r="Q123" s="249"/>
      <c r="R123" s="36"/>
      <c r="S123" s="35">
        <f>520</f>
        <v>520</v>
      </c>
      <c r="T123" s="37" t="s">
        <v>170</v>
      </c>
    </row>
    <row r="124" spans="7:20">
      <c r="O124" s="248" t="s">
        <v>172</v>
      </c>
      <c r="P124" s="249"/>
      <c r="Q124" s="249"/>
      <c r="R124" s="36"/>
      <c r="S124" s="73">
        <f>0.6*(((D20/2)*1000)*(I60))^(1/2)*I60</f>
        <v>482.99068313995451</v>
      </c>
      <c r="T124" s="37" t="s">
        <v>170</v>
      </c>
    </row>
    <row r="125" spans="7:20">
      <c r="O125" s="248" t="s">
        <v>173</v>
      </c>
      <c r="P125" s="249"/>
      <c r="Q125" s="249"/>
      <c r="R125" s="36"/>
      <c r="S125" s="73">
        <f>IF((0.3*((D104*1000*L122)^(1/2)))&lt;=300,(0.3*((D104*1000*L122)^(1/2))),300)*4.5</f>
        <v>514.7955390494327</v>
      </c>
      <c r="T125" s="37" t="s">
        <v>170</v>
      </c>
    </row>
    <row r="126" spans="7:20">
      <c r="O126" s="271" t="s">
        <v>174</v>
      </c>
      <c r="P126" s="272"/>
      <c r="Q126" s="272"/>
      <c r="R126" s="77"/>
      <c r="S126" s="78">
        <f>S123+S124+S125</f>
        <v>1517.7862221893872</v>
      </c>
      <c r="T126" s="79" t="s">
        <v>170</v>
      </c>
    </row>
    <row r="127" spans="7:20" ht="15.75" thickBot="1">
      <c r="O127" s="346" t="s">
        <v>175</v>
      </c>
      <c r="P127" s="347"/>
      <c r="Q127" s="347"/>
      <c r="R127" s="38"/>
      <c r="S127" s="161" t="str">
        <f>IF(S126&gt;=S122,"CUMPLE","NO CUMPLE")</f>
        <v>CUMPLE</v>
      </c>
      <c r="T127" s="39"/>
    </row>
    <row r="129" spans="2:23" ht="15.75" thickBot="1"/>
    <row r="130" spans="2:23" ht="30.75" thickBot="1">
      <c r="B130" s="231" t="s">
        <v>468</v>
      </c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3"/>
    </row>
    <row r="132" spans="2:23" ht="15.75" thickBot="1"/>
    <row r="133" spans="2:23">
      <c r="G133" s="394" t="s">
        <v>185</v>
      </c>
      <c r="H133" s="395"/>
      <c r="I133" s="395"/>
      <c r="J133" s="395"/>
      <c r="K133" s="395"/>
      <c r="L133" s="395"/>
      <c r="M133" s="396"/>
      <c r="O133" s="294" t="s">
        <v>227</v>
      </c>
      <c r="P133" s="295"/>
      <c r="Q133" s="295"/>
      <c r="R133" s="295"/>
      <c r="S133" s="295"/>
      <c r="T133" s="296"/>
    </row>
    <row r="134" spans="2:23">
      <c r="G134" s="371" t="s">
        <v>113</v>
      </c>
      <c r="H134" s="372"/>
      <c r="I134" s="372"/>
      <c r="J134" s="372"/>
      <c r="K134" s="298" t="s">
        <v>114</v>
      </c>
      <c r="L134" s="298" t="s">
        <v>2</v>
      </c>
      <c r="M134" s="299" t="s">
        <v>115</v>
      </c>
      <c r="O134" s="426" t="s">
        <v>113</v>
      </c>
      <c r="P134" s="427"/>
      <c r="Q134" s="428"/>
      <c r="R134" s="298" t="s">
        <v>114</v>
      </c>
      <c r="S134" s="298" t="s">
        <v>2</v>
      </c>
      <c r="T134" s="299" t="s">
        <v>115</v>
      </c>
    </row>
    <row r="135" spans="2:23">
      <c r="G135" s="371"/>
      <c r="H135" s="372"/>
      <c r="I135" s="372"/>
      <c r="J135" s="372"/>
      <c r="K135" s="213"/>
      <c r="L135" s="213"/>
      <c r="M135" s="300"/>
      <c r="O135" s="391"/>
      <c r="P135" s="392"/>
      <c r="Q135" s="393"/>
      <c r="R135" s="432"/>
      <c r="S135" s="432"/>
      <c r="T135" s="433"/>
    </row>
    <row r="136" spans="2:23">
      <c r="G136" s="253" t="s">
        <v>309</v>
      </c>
      <c r="H136" s="254"/>
      <c r="I136" s="254"/>
      <c r="J136" s="255"/>
      <c r="K136" s="77" t="s">
        <v>621</v>
      </c>
      <c r="L136" s="96">
        <f>L137/0.1019716</f>
        <v>111825.82175982569</v>
      </c>
      <c r="M136" s="79" t="s">
        <v>251</v>
      </c>
      <c r="O136" s="248" t="s">
        <v>228</v>
      </c>
      <c r="P136" s="249"/>
      <c r="Q136" s="249"/>
      <c r="R136" s="36"/>
      <c r="S136" s="35">
        <v>380</v>
      </c>
      <c r="T136" s="37" t="s">
        <v>19</v>
      </c>
    </row>
    <row r="137" spans="2:23">
      <c r="G137" s="250" t="s">
        <v>305</v>
      </c>
      <c r="H137" s="251"/>
      <c r="I137" s="251"/>
      <c r="J137" s="252"/>
      <c r="K137" s="36" t="s">
        <v>621</v>
      </c>
      <c r="L137" s="121">
        <f>P82+S99+O60</f>
        <v>11403.05796616424</v>
      </c>
      <c r="M137" s="37" t="s">
        <v>153</v>
      </c>
      <c r="O137" s="271" t="s">
        <v>229</v>
      </c>
      <c r="P137" s="272"/>
      <c r="Q137" s="272"/>
      <c r="R137" s="77"/>
      <c r="S137" s="35" t="s">
        <v>230</v>
      </c>
      <c r="T137" s="79"/>
    </row>
    <row r="138" spans="2:23">
      <c r="G138" s="250" t="s">
        <v>622</v>
      </c>
      <c r="H138" s="251"/>
      <c r="I138" s="251"/>
      <c r="J138" s="252"/>
      <c r="K138" s="36" t="s">
        <v>186</v>
      </c>
      <c r="L138" s="121">
        <f>0.89*(D68/190)^2</f>
        <v>1.5408587257617727E-2</v>
      </c>
      <c r="M138" s="37" t="s">
        <v>133</v>
      </c>
      <c r="O138" s="248" t="s">
        <v>231</v>
      </c>
      <c r="P138" s="249"/>
      <c r="Q138" s="249"/>
      <c r="R138" s="36"/>
      <c r="S138" s="121" cm="1">
        <f t="array" ref="S138">INDEX(Auxiliar!E40:I56,Auxiliar!F36,4)</f>
        <v>23</v>
      </c>
      <c r="T138" s="37" t="s">
        <v>11</v>
      </c>
    </row>
    <row r="139" spans="2:23">
      <c r="G139" s="250" t="s">
        <v>469</v>
      </c>
      <c r="H139" s="251"/>
      <c r="I139" s="251"/>
      <c r="J139" s="252"/>
      <c r="K139" s="36" t="s">
        <v>187</v>
      </c>
      <c r="L139" s="121">
        <f>1.48*(D68/190)^2</f>
        <v>2.5623268698060937E-2</v>
      </c>
      <c r="M139" s="37" t="s">
        <v>133</v>
      </c>
      <c r="O139" s="248" t="s">
        <v>232</v>
      </c>
      <c r="P139" s="249"/>
      <c r="Q139" s="249"/>
      <c r="R139" s="36"/>
      <c r="S139" s="121" cm="1">
        <f t="array" ref="S139">INDEX(Auxiliar!E40:I56,Auxiliar!F36,3)</f>
        <v>16</v>
      </c>
      <c r="T139" s="37" t="s">
        <v>11</v>
      </c>
    </row>
    <row r="140" spans="2:23">
      <c r="G140" s="253" t="s">
        <v>188</v>
      </c>
      <c r="H140" s="254"/>
      <c r="I140" s="254"/>
      <c r="J140" s="255"/>
      <c r="K140" s="77" t="s">
        <v>189</v>
      </c>
      <c r="L140" s="96">
        <f>L138*D20*((D21^2)/2)</f>
        <v>3.7442867036011078</v>
      </c>
      <c r="M140" s="79" t="s">
        <v>190</v>
      </c>
      <c r="O140" s="248" t="s">
        <v>233</v>
      </c>
      <c r="P140" s="249"/>
      <c r="Q140" s="249"/>
      <c r="R140" s="36"/>
      <c r="S140" s="121">
        <v>25</v>
      </c>
      <c r="T140" s="37"/>
    </row>
    <row r="141" spans="2:23">
      <c r="G141" s="253" t="s">
        <v>191</v>
      </c>
      <c r="H141" s="254"/>
      <c r="I141" s="254"/>
      <c r="J141" s="255"/>
      <c r="K141" s="77" t="s">
        <v>192</v>
      </c>
      <c r="L141" s="96">
        <f>(L136/1000)*D20/3</f>
        <v>223.6516435196514</v>
      </c>
      <c r="M141" s="79" t="s">
        <v>190</v>
      </c>
      <c r="O141" s="248" t="s">
        <v>234</v>
      </c>
      <c r="P141" s="249"/>
      <c r="Q141" s="249"/>
      <c r="R141" s="36"/>
      <c r="S141" s="121" cm="1">
        <f t="array" ref="S141">INDEX(Auxiliar!E40:I56,Auxiliar!F36,2)</f>
        <v>0.81</v>
      </c>
      <c r="T141" s="37" t="s">
        <v>235</v>
      </c>
    </row>
    <row r="142" spans="2:23">
      <c r="G142" s="253" t="s">
        <v>193</v>
      </c>
      <c r="H142" s="254"/>
      <c r="I142" s="254"/>
      <c r="J142" s="255"/>
      <c r="K142" s="256" t="str">
        <f>IF(L141&gt;L140,"CUMPLE","NO CUMPLE. ANCLAR MECÁNICAMENTE")</f>
        <v>CUMPLE</v>
      </c>
      <c r="L142" s="257"/>
      <c r="M142" s="258"/>
      <c r="O142" s="248" t="s">
        <v>236</v>
      </c>
      <c r="P142" s="249"/>
      <c r="Q142" s="249"/>
      <c r="R142" s="36"/>
      <c r="S142" s="121">
        <f>D20*1000+2*I61+2*S138</f>
        <v>6058</v>
      </c>
      <c r="T142" s="37" t="s">
        <v>11</v>
      </c>
    </row>
    <row r="143" spans="2:23">
      <c r="G143" s="288" t="s">
        <v>194</v>
      </c>
      <c r="H143" s="289"/>
      <c r="I143" s="289"/>
      <c r="J143" s="289"/>
      <c r="K143" s="289"/>
      <c r="L143" s="289"/>
      <c r="M143" s="290"/>
      <c r="O143" s="248" t="s">
        <v>237</v>
      </c>
      <c r="P143" s="249"/>
      <c r="Q143" s="249"/>
      <c r="R143" s="36"/>
      <c r="S143" s="121">
        <f>L140*101.97*100</f>
        <v>38180.491516620496</v>
      </c>
      <c r="T143" s="37" t="s">
        <v>238</v>
      </c>
    </row>
    <row r="144" spans="2:23">
      <c r="G144" s="250" t="s">
        <v>195</v>
      </c>
      <c r="H144" s="251"/>
      <c r="I144" s="251"/>
      <c r="J144" s="252"/>
      <c r="K144" s="36" t="s">
        <v>196</v>
      </c>
      <c r="L144" s="121">
        <f>IF((D21/D20)&lt;=1,1.3,(IF((D21/D20)&lt;=7,1.4,2)))</f>
        <v>1.4</v>
      </c>
      <c r="M144" s="37"/>
      <c r="O144" s="248" t="s">
        <v>239</v>
      </c>
      <c r="P144" s="249"/>
      <c r="Q144" s="249"/>
      <c r="R144" s="36"/>
      <c r="S144" s="121">
        <f>S136*10.1972</f>
        <v>3874.9360000000001</v>
      </c>
      <c r="T144" s="37" t="s">
        <v>240</v>
      </c>
    </row>
    <row r="145" spans="7:20">
      <c r="G145" s="250" t="s">
        <v>197</v>
      </c>
      <c r="H145" s="251"/>
      <c r="I145" s="251"/>
      <c r="J145" s="252"/>
      <c r="K145" s="36" t="s">
        <v>198</v>
      </c>
      <c r="L145" s="121">
        <f>IF((D21/D20)&lt;=1,0.7,(IF((D21/D20)&lt;=7,0.8,1.2)))</f>
        <v>0.8</v>
      </c>
      <c r="M145" s="37"/>
      <c r="O145" s="248" t="s">
        <v>241</v>
      </c>
      <c r="P145" s="249"/>
      <c r="Q145" s="249"/>
      <c r="R145" s="36"/>
      <c r="S145" s="121">
        <f>S142/10</f>
        <v>605.79999999999995</v>
      </c>
      <c r="T145" s="37" t="s">
        <v>242</v>
      </c>
    </row>
    <row r="146" spans="7:20">
      <c r="G146" s="250" t="s">
        <v>199</v>
      </c>
      <c r="H146" s="251"/>
      <c r="I146" s="251"/>
      <c r="J146" s="252"/>
      <c r="K146" s="36" t="s">
        <v>200</v>
      </c>
      <c r="L146" s="121">
        <f>D21/2</f>
        <v>4.5</v>
      </c>
      <c r="M146" s="37" t="s">
        <v>10</v>
      </c>
      <c r="O146" s="248" t="s">
        <v>243</v>
      </c>
      <c r="P146" s="249"/>
      <c r="Q146" s="249"/>
      <c r="R146" s="36"/>
      <c r="S146" s="121">
        <f>((((4*S143)/S145)-L137))/(S144*S140)</f>
        <v>-0.11510856766982881</v>
      </c>
      <c r="T146" s="37" t="s">
        <v>235</v>
      </c>
    </row>
    <row r="147" spans="7:20">
      <c r="G147" s="250" t="s">
        <v>201</v>
      </c>
      <c r="H147" s="251"/>
      <c r="I147" s="251"/>
      <c r="J147" s="252"/>
      <c r="K147" s="36" t="s">
        <v>202</v>
      </c>
      <c r="L147" s="121">
        <f>L138*0.85*L144*D20*D21</f>
        <v>0.99015581717451495</v>
      </c>
      <c r="M147" s="37" t="s">
        <v>203</v>
      </c>
      <c r="O147" s="271" t="s">
        <v>244</v>
      </c>
      <c r="P147" s="272"/>
      <c r="Q147" s="272"/>
      <c r="R147" s="320" t="str">
        <f>IF(S141&gt;S146,"CUMPLE","NO CUMPLE. ELIGE UN PERNO DE MAYOR")</f>
        <v>CUMPLE</v>
      </c>
      <c r="S147" s="320"/>
      <c r="T147" s="434"/>
    </row>
    <row r="148" spans="7:20">
      <c r="G148" s="250" t="s">
        <v>204</v>
      </c>
      <c r="H148" s="251"/>
      <c r="I148" s="251"/>
      <c r="J148" s="252"/>
      <c r="K148" s="36" t="s">
        <v>205</v>
      </c>
      <c r="L148" s="121">
        <f>D104/2</f>
        <v>9.0882869350204416</v>
      </c>
      <c r="M148" s="37" t="s">
        <v>10</v>
      </c>
      <c r="O148" s="271" t="s">
        <v>245</v>
      </c>
      <c r="P148" s="272"/>
      <c r="Q148" s="272"/>
      <c r="R148" s="85">
        <f>1-S146/S141</f>
        <v>1.1421093428022577</v>
      </c>
      <c r="S148" s="80"/>
      <c r="T148" s="75"/>
    </row>
    <row r="149" spans="7:20">
      <c r="G149" s="250" t="s">
        <v>206</v>
      </c>
      <c r="H149" s="251"/>
      <c r="I149" s="251"/>
      <c r="J149" s="252"/>
      <c r="K149" s="36" t="s">
        <v>207</v>
      </c>
      <c r="L149" s="121">
        <f>L139*0.85*L145*((PI()*D20^2)/4)</f>
        <v>0.49264698094104753</v>
      </c>
      <c r="M149" s="37" t="s">
        <v>203</v>
      </c>
      <c r="O149" s="437" t="str">
        <f>IF(R148&lt;0%,"CONSIDERA UN ANCLAJE MAYOR",(IF(R148&lt;40%,"ANCLAJE ACEPTABLE", "PUEDES INCLUSO CONSIDERAR UN ANCLAJE MENOR")))</f>
        <v>PUEDES INCLUSO CONSIDERAR UN ANCLAJE MENOR</v>
      </c>
      <c r="P149" s="438"/>
      <c r="Q149" s="438"/>
      <c r="R149" s="438"/>
      <c r="S149" s="438"/>
      <c r="T149" s="439"/>
    </row>
    <row r="150" spans="7:20">
      <c r="G150" s="250" t="s">
        <v>623</v>
      </c>
      <c r="H150" s="251"/>
      <c r="I150" s="251"/>
      <c r="J150" s="252"/>
      <c r="K150" s="36" t="s">
        <v>208</v>
      </c>
      <c r="L150" s="121">
        <f>K88-D27</f>
        <v>6</v>
      </c>
      <c r="M150" s="37" t="s">
        <v>11</v>
      </c>
      <c r="O150" s="248" t="s">
        <v>262</v>
      </c>
      <c r="P150" s="249"/>
      <c r="Q150" s="249"/>
      <c r="R150" s="36" t="s">
        <v>246</v>
      </c>
      <c r="S150" s="121" cm="1">
        <f t="array" ref="S150">INDEX(Auxiliar!D40:I56,Auxiliar!F36,1)/10</f>
        <v>1.27</v>
      </c>
      <c r="T150" s="37" t="s">
        <v>242</v>
      </c>
    </row>
    <row r="151" spans="7:20">
      <c r="G151" s="250" t="s">
        <v>209</v>
      </c>
      <c r="H151" s="251"/>
      <c r="I151" s="251"/>
      <c r="J151" s="252"/>
      <c r="K151" s="36" t="s">
        <v>210</v>
      </c>
      <c r="L151" s="121">
        <f>D48</f>
        <v>250</v>
      </c>
      <c r="M151" s="37" t="s">
        <v>19</v>
      </c>
      <c r="O151" s="248" t="s">
        <v>247</v>
      </c>
      <c r="P151" s="249"/>
      <c r="Q151" s="249"/>
      <c r="R151" s="36" t="s">
        <v>248</v>
      </c>
      <c r="S151" s="35">
        <f>0.4</f>
        <v>0.4</v>
      </c>
      <c r="T151" s="37" t="s">
        <v>19</v>
      </c>
    </row>
    <row r="152" spans="7:20">
      <c r="G152" s="250" t="s">
        <v>211</v>
      </c>
      <c r="H152" s="251"/>
      <c r="I152" s="251"/>
      <c r="J152" s="252"/>
      <c r="K152" s="36" t="s">
        <v>212</v>
      </c>
      <c r="L152" s="121">
        <f>IF((59*(L150-D27)*SQRT(L151*D21))&lt;=70.4*D20*D21,(59*(L150-D27)*SQRT(L151*D21)/1000),(70.4*D20*D21/1000))</f>
        <v>3.8016000000000005</v>
      </c>
      <c r="M152" s="37" t="s">
        <v>213</v>
      </c>
      <c r="O152" s="248" t="s">
        <v>249</v>
      </c>
      <c r="P152" s="249"/>
      <c r="Q152" s="249"/>
      <c r="R152" s="36" t="s">
        <v>187</v>
      </c>
      <c r="S152" s="121">
        <v>0</v>
      </c>
      <c r="T152" s="37" t="s">
        <v>133</v>
      </c>
    </row>
    <row r="153" spans="7:20">
      <c r="G153" s="250" t="s">
        <v>214</v>
      </c>
      <c r="H153" s="251"/>
      <c r="I153" s="251"/>
      <c r="J153" s="252"/>
      <c r="K153" s="36" t="s">
        <v>215</v>
      </c>
      <c r="L153" s="121">
        <f>D69*(D20/2)*((PI()*D20^2)/4)</f>
        <v>339.29200658769764</v>
      </c>
      <c r="M153" s="37" t="s">
        <v>190</v>
      </c>
      <c r="O153" s="248" t="s">
        <v>250</v>
      </c>
      <c r="P153" s="249"/>
      <c r="Q153" s="249"/>
      <c r="R153" s="36" t="s">
        <v>147</v>
      </c>
      <c r="S153" s="121">
        <f>S152*(D20^2)*785+(4*(L140*1000/D20))-L136</f>
        <v>-109329.63062409162</v>
      </c>
      <c r="T153" s="37" t="s">
        <v>251</v>
      </c>
    </row>
    <row r="154" spans="7:20">
      <c r="G154" s="250" t="s">
        <v>216</v>
      </c>
      <c r="H154" s="251"/>
      <c r="I154" s="251"/>
      <c r="J154" s="252"/>
      <c r="K154" s="36" t="s">
        <v>217</v>
      </c>
      <c r="L154" s="121">
        <f>L147*L146+L149*L148</f>
        <v>8.9330182977491042</v>
      </c>
      <c r="M154" s="37" t="s">
        <v>190</v>
      </c>
      <c r="O154" s="248" t="s">
        <v>252</v>
      </c>
      <c r="P154" s="249"/>
      <c r="Q154" s="249"/>
      <c r="R154" s="36" t="s">
        <v>100</v>
      </c>
      <c r="S154" s="121">
        <f>S153/S140</f>
        <v>-4373.185224963665</v>
      </c>
      <c r="T154" s="37" t="s">
        <v>251</v>
      </c>
    </row>
    <row r="155" spans="7:20">
      <c r="G155" s="250" t="s">
        <v>218</v>
      </c>
      <c r="H155" s="251"/>
      <c r="I155" s="251"/>
      <c r="J155" s="252"/>
      <c r="K155" s="36" t="s">
        <v>219</v>
      </c>
      <c r="L155" s="121">
        <f>D20/2*(L136/1000)</f>
        <v>335.47746527947709</v>
      </c>
      <c r="M155" s="37" t="s">
        <v>190</v>
      </c>
      <c r="O155" s="248" t="s">
        <v>470</v>
      </c>
      <c r="P155" s="249"/>
      <c r="Q155" s="249"/>
      <c r="R155" s="36" t="s">
        <v>248</v>
      </c>
      <c r="S155" s="121">
        <f>S151*10.1972</f>
        <v>4.0788800000000007</v>
      </c>
      <c r="T155" s="37" t="s">
        <v>253</v>
      </c>
    </row>
    <row r="156" spans="7:20">
      <c r="G156" s="250" t="s">
        <v>220</v>
      </c>
      <c r="H156" s="251"/>
      <c r="I156" s="251"/>
      <c r="J156" s="252"/>
      <c r="K156" s="36" t="s">
        <v>221</v>
      </c>
      <c r="L156" s="121">
        <f>((L152*PI()*D20)/1000)*(D20/2)</f>
        <v>0.21497541537396525</v>
      </c>
      <c r="M156" s="37" t="s">
        <v>190</v>
      </c>
      <c r="O156" s="248" t="s">
        <v>254</v>
      </c>
      <c r="P156" s="249"/>
      <c r="Q156" s="249"/>
      <c r="R156" s="36" t="s">
        <v>100</v>
      </c>
      <c r="S156" s="121">
        <f>S154*0.10197</f>
        <v>-445.93369738954493</v>
      </c>
      <c r="T156" s="37" t="s">
        <v>153</v>
      </c>
    </row>
    <row r="157" spans="7:20">
      <c r="G157" s="250" t="s">
        <v>222</v>
      </c>
      <c r="H157" s="251"/>
      <c r="I157" s="251"/>
      <c r="J157" s="252"/>
      <c r="K157" s="36" t="s">
        <v>223</v>
      </c>
      <c r="L157" s="121">
        <f>0.5*D20*S101/1000</f>
        <v>53.032761623663077</v>
      </c>
      <c r="M157" s="37" t="s">
        <v>190</v>
      </c>
      <c r="O157" s="271" t="s">
        <v>255</v>
      </c>
      <c r="P157" s="272"/>
      <c r="Q157" s="272"/>
      <c r="R157" s="77" t="s">
        <v>256</v>
      </c>
      <c r="S157" s="96">
        <f>S156/(PI()*S150*S155)</f>
        <v>-27.401590335741187</v>
      </c>
      <c r="T157" s="79" t="s">
        <v>242</v>
      </c>
    </row>
    <row r="158" spans="7:20">
      <c r="G158" s="253" t="s">
        <v>224</v>
      </c>
      <c r="H158" s="254"/>
      <c r="I158" s="254"/>
      <c r="J158" s="255"/>
      <c r="K158" s="256" t="str">
        <f>IF((0.6*L154+L153)&lt;((L155/1.5)+L157),"CUMPLE","NO CUMPLE. ANCLAR MECÁNICAMENTE")</f>
        <v>NO CUMPLE. ANCLAR MECÁNICAMENTE</v>
      </c>
      <c r="L158" s="257"/>
      <c r="M158" s="258"/>
      <c r="O158" s="248" t="s">
        <v>257</v>
      </c>
      <c r="P158" s="249"/>
      <c r="Q158" s="249"/>
      <c r="R158" s="36" t="s">
        <v>258</v>
      </c>
      <c r="S158" s="121">
        <f>PI()*S142</f>
        <v>19031.768295446967</v>
      </c>
      <c r="T158" s="37" t="s">
        <v>11</v>
      </c>
    </row>
    <row r="159" spans="7:20">
      <c r="G159" s="253" t="s">
        <v>225</v>
      </c>
      <c r="H159" s="254"/>
      <c r="I159" s="254"/>
      <c r="J159" s="255"/>
      <c r="K159" s="256" t="str">
        <f>IF((L154+D67*L153)&lt;(((L155+L156)/2)+L157),"CUMPLE","NO CUMPLE. ANCLAR MECÁNICAMENTE")</f>
        <v>CUMPLE</v>
      </c>
      <c r="L159" s="257"/>
      <c r="M159" s="258"/>
      <c r="O159" s="248" t="s">
        <v>259</v>
      </c>
      <c r="P159" s="249"/>
      <c r="Q159" s="249"/>
      <c r="R159" s="36" t="s">
        <v>260</v>
      </c>
      <c r="S159" s="121">
        <f>S158/S140</f>
        <v>761.27073181787864</v>
      </c>
      <c r="T159" s="37" t="s">
        <v>11</v>
      </c>
    </row>
    <row r="160" spans="7:20" ht="15.75" thickBot="1">
      <c r="G160" s="291" t="s">
        <v>226</v>
      </c>
      <c r="H160" s="292"/>
      <c r="I160" s="292"/>
      <c r="J160" s="293"/>
      <c r="K160" s="285" t="str">
        <f>IF((L140+D67*L153)&lt;((L155/1.5)+L157),"CUMPLE","NO CUMPLE. ANCLAR MECÁNICAMENTE")</f>
        <v>CUMPLE</v>
      </c>
      <c r="L160" s="286"/>
      <c r="M160" s="287"/>
      <c r="O160" s="440" t="s">
        <v>261</v>
      </c>
      <c r="P160" s="441"/>
      <c r="Q160" s="441"/>
      <c r="R160" s="435" t="str">
        <f>IF(S159&lt;=3000,"CUMPLE","NO CUMPLE. AUMENTAR PERNOS")</f>
        <v>CUMPLE</v>
      </c>
      <c r="S160" s="435"/>
      <c r="T160" s="436"/>
    </row>
    <row r="162" spans="2:23" ht="15.75" thickBot="1"/>
    <row r="163" spans="2:23" ht="33" customHeight="1" thickBot="1">
      <c r="B163" s="231" t="s">
        <v>310</v>
      </c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3"/>
    </row>
    <row r="164" spans="2:23" ht="15.75" thickBot="1"/>
    <row r="165" spans="2:23" ht="15.75" thickBot="1">
      <c r="B165" s="294" t="s">
        <v>471</v>
      </c>
      <c r="C165" s="295"/>
      <c r="D165" s="295"/>
      <c r="E165" s="295"/>
      <c r="F165" s="295"/>
      <c r="G165" s="296"/>
      <c r="I165" s="294" t="s">
        <v>501</v>
      </c>
      <c r="J165" s="295"/>
      <c r="K165" s="295"/>
      <c r="L165" s="295"/>
      <c r="M165" s="295"/>
      <c r="N165" s="296"/>
      <c r="P165" s="328" t="s">
        <v>523</v>
      </c>
      <c r="Q165" s="329"/>
      <c r="R165" s="329"/>
      <c r="S165" s="329"/>
      <c r="T165" s="329"/>
      <c r="U165" s="329"/>
      <c r="V165" s="329"/>
      <c r="W165" s="330"/>
    </row>
    <row r="166" spans="2:23">
      <c r="B166" s="314" t="s">
        <v>16</v>
      </c>
      <c r="C166" s="315"/>
      <c r="D166" s="310" t="s">
        <v>5</v>
      </c>
      <c r="E166" s="310" t="s">
        <v>2</v>
      </c>
      <c r="F166" s="310" t="s">
        <v>3</v>
      </c>
      <c r="G166" s="310"/>
      <c r="I166" s="159" t="s">
        <v>502</v>
      </c>
      <c r="J166" s="157"/>
      <c r="K166" s="94"/>
      <c r="L166" s="81" t="s">
        <v>503</v>
      </c>
      <c r="M166" s="169">
        <f>9.47*I60*SQRT((I60/D20)^3)*(1.72/E170)</f>
        <v>367.92860986547095</v>
      </c>
      <c r="N166" s="52" t="s">
        <v>10</v>
      </c>
      <c r="P166" s="331" t="s">
        <v>524</v>
      </c>
      <c r="Q166" s="332"/>
      <c r="R166" s="442" t="s">
        <v>525</v>
      </c>
      <c r="S166" s="282" t="s">
        <v>526</v>
      </c>
      <c r="T166" s="283"/>
      <c r="U166" s="283"/>
      <c r="V166" s="283"/>
      <c r="W166" s="284"/>
    </row>
    <row r="167" spans="2:23" ht="15.75" thickBot="1">
      <c r="B167" s="316"/>
      <c r="C167" s="317"/>
      <c r="D167" s="310"/>
      <c r="E167" s="310"/>
      <c r="F167" s="310"/>
      <c r="G167" s="310"/>
      <c r="I167" s="166" t="s">
        <v>504</v>
      </c>
      <c r="J167" s="167"/>
      <c r="K167" s="168"/>
      <c r="L167" s="311" t="str">
        <f>IF(M166&gt;=D21,"NO SE NECESITA VIGA INTERMEDIA","SE NECESITA VIGA INTERMEDIA")</f>
        <v>NO SE NECESITA VIGA INTERMEDIA</v>
      </c>
      <c r="M167" s="312"/>
      <c r="N167" s="313"/>
      <c r="P167" s="333"/>
      <c r="Q167" s="334"/>
      <c r="R167" s="443"/>
      <c r="S167" s="102">
        <v>5</v>
      </c>
      <c r="T167" s="102">
        <v>6</v>
      </c>
      <c r="U167" s="102">
        <v>8</v>
      </c>
      <c r="V167" s="102">
        <v>10</v>
      </c>
      <c r="W167" s="103">
        <v>11</v>
      </c>
    </row>
    <row r="168" spans="2:23" ht="15.75" thickBot="1">
      <c r="B168" s="259" t="s">
        <v>472</v>
      </c>
      <c r="C168" s="252"/>
      <c r="D168" s="36" t="s">
        <v>165</v>
      </c>
      <c r="E168" s="131">
        <f>IF(D53&gt;=210,210,D53)</f>
        <v>210</v>
      </c>
      <c r="F168" s="270" t="s">
        <v>19</v>
      </c>
      <c r="G168" s="270"/>
      <c r="I168" s="191"/>
      <c r="J168" s="34"/>
      <c r="K168" s="34"/>
      <c r="L168" s="34"/>
      <c r="M168" s="34"/>
      <c r="N168" s="123"/>
      <c r="P168" s="335" t="s">
        <v>569</v>
      </c>
      <c r="Q168" s="336"/>
      <c r="R168" s="188" t="s">
        <v>528</v>
      </c>
      <c r="S168" s="189">
        <v>6.58</v>
      </c>
      <c r="T168" s="189">
        <v>6.77</v>
      </c>
      <c r="U168" s="189" t="s">
        <v>529</v>
      </c>
      <c r="V168" s="189" t="s">
        <v>529</v>
      </c>
      <c r="W168" s="190" t="s">
        <v>529</v>
      </c>
    </row>
    <row r="169" spans="2:23">
      <c r="B169" s="259" t="s">
        <v>473</v>
      </c>
      <c r="C169" s="252"/>
      <c r="D169" s="36" t="s">
        <v>474</v>
      </c>
      <c r="E169" s="165">
        <f>1.48*(D68/190)^2</f>
        <v>2.5623268698060937E-2</v>
      </c>
      <c r="F169" s="270" t="s">
        <v>133</v>
      </c>
      <c r="G169" s="270"/>
      <c r="I169" s="377" t="s">
        <v>505</v>
      </c>
      <c r="J169" s="378"/>
      <c r="K169" s="378"/>
      <c r="L169" s="378"/>
      <c r="M169" s="378"/>
      <c r="N169" s="379"/>
      <c r="P169" s="319" t="s">
        <v>570</v>
      </c>
      <c r="Q169" s="320"/>
      <c r="R169" s="184" t="s">
        <v>530</v>
      </c>
      <c r="S169" s="31">
        <v>8.4600000000000009</v>
      </c>
      <c r="T169" s="31">
        <v>8.6300000000000008</v>
      </c>
      <c r="U169" s="31" t="s">
        <v>529</v>
      </c>
      <c r="V169" s="31" t="s">
        <v>529</v>
      </c>
      <c r="W169" s="108" t="s">
        <v>529</v>
      </c>
    </row>
    <row r="170" spans="2:23">
      <c r="B170" s="259" t="s">
        <v>475</v>
      </c>
      <c r="C170" s="252"/>
      <c r="D170" s="36" t="s">
        <v>476</v>
      </c>
      <c r="E170" s="165">
        <f>E169+0.24</f>
        <v>0.26562326869806091</v>
      </c>
      <c r="F170" s="270" t="s">
        <v>133</v>
      </c>
      <c r="G170" s="270"/>
      <c r="I170" s="44" t="s">
        <v>506</v>
      </c>
      <c r="J170" s="45" t="s">
        <v>507</v>
      </c>
      <c r="K170" s="45" t="s">
        <v>508</v>
      </c>
      <c r="L170" s="45" t="s">
        <v>509</v>
      </c>
      <c r="M170" s="45" t="s">
        <v>510</v>
      </c>
      <c r="N170" s="46" t="s">
        <v>511</v>
      </c>
      <c r="P170" s="319" t="s">
        <v>571</v>
      </c>
      <c r="Q170" s="320"/>
      <c r="R170" s="184" t="s">
        <v>531</v>
      </c>
      <c r="S170" s="31">
        <v>13.82</v>
      </c>
      <c r="T170" s="31">
        <v>13.97</v>
      </c>
      <c r="U170" s="31" t="s">
        <v>529</v>
      </c>
      <c r="V170" s="31" t="s">
        <v>529</v>
      </c>
      <c r="W170" s="108" t="s">
        <v>529</v>
      </c>
    </row>
    <row r="171" spans="2:23">
      <c r="B171" s="259" t="s">
        <v>477</v>
      </c>
      <c r="C171" s="252"/>
      <c r="D171" s="77" t="s">
        <v>478</v>
      </c>
      <c r="E171" s="163">
        <f>IF(D20&lt;=61,((6*D21*D20^2)/(0.5*E168))*(E170/1.72),((6*D21*61^2)/(0.5*E168))*(E170/1.72))</f>
        <v>2.8592006331618522</v>
      </c>
      <c r="F171" s="270" t="s">
        <v>479</v>
      </c>
      <c r="G171" s="270"/>
      <c r="I171" s="42">
        <f t="shared" ref="I171:I182" si="23">G47</f>
        <v>1</v>
      </c>
      <c r="J171" s="31">
        <f t="shared" ref="J171:J182" si="24">H31</f>
        <v>3000</v>
      </c>
      <c r="K171" s="47">
        <f t="shared" ref="K171:K182" si="25">I47</f>
        <v>6</v>
      </c>
      <c r="L171" s="47">
        <f>$D$25+$D$27</f>
        <v>6</v>
      </c>
      <c r="M171" s="47">
        <f t="shared" ref="M171" si="26">J171*(SQRT((L171/K171)^5))</f>
        <v>3000</v>
      </c>
      <c r="N171" s="170">
        <f>M171</f>
        <v>3000</v>
      </c>
      <c r="P171" s="337" t="s">
        <v>572</v>
      </c>
      <c r="Q171" s="338"/>
      <c r="R171" s="185" t="s">
        <v>528</v>
      </c>
      <c r="S171" s="179">
        <v>27.03</v>
      </c>
      <c r="T171" s="179">
        <v>28.16</v>
      </c>
      <c r="U171" s="179" t="s">
        <v>529</v>
      </c>
      <c r="V171" s="179" t="s">
        <v>529</v>
      </c>
      <c r="W171" s="180" t="s">
        <v>529</v>
      </c>
    </row>
    <row r="172" spans="2:23">
      <c r="B172" s="259" t="s">
        <v>480</v>
      </c>
      <c r="C172" s="252"/>
      <c r="D172" s="351" t="str">
        <f>IF(D20&gt;61,"SI, COMPROBAR CONDICIÓN INFERIOR","NO, CONDICIÓN INFERIOR NO OBLIGATORIA")</f>
        <v>NO, CONDICIÓN INFERIOR NO OBLIGATORIA</v>
      </c>
      <c r="E172" s="352"/>
      <c r="F172" s="352"/>
      <c r="G172" s="353"/>
      <c r="I172" s="42">
        <f t="shared" si="23"/>
        <v>2</v>
      </c>
      <c r="J172" s="31">
        <f t="shared" si="24"/>
        <v>3000</v>
      </c>
      <c r="K172" s="47">
        <f t="shared" si="25"/>
        <v>6</v>
      </c>
      <c r="L172" s="47">
        <f t="shared" ref="L172:L182" si="27">IF(G18&lt;=(ROUNDUP($K$11,0)),$D$25+$D$27,0)</f>
        <v>6</v>
      </c>
      <c r="M172" s="47">
        <f t="shared" ref="M172:M182" si="28">IF(G18&lt;=(ROUNDUP($K$11,0)),J172*(SQRT((L172/K172)^5)),0)</f>
        <v>3000</v>
      </c>
      <c r="N172" s="170">
        <f t="shared" ref="N172:N182" si="29">IF(G18&lt;=(ROUNDUP($K$11,0)),N171+M172,0)</f>
        <v>6000</v>
      </c>
      <c r="P172" s="337" t="s">
        <v>573</v>
      </c>
      <c r="Q172" s="338"/>
      <c r="R172" s="185" t="s">
        <v>530</v>
      </c>
      <c r="S172" s="179">
        <v>33.049999999999997</v>
      </c>
      <c r="T172" s="179">
        <v>34.67</v>
      </c>
      <c r="U172" s="179" t="s">
        <v>529</v>
      </c>
      <c r="V172" s="179" t="s">
        <v>529</v>
      </c>
      <c r="W172" s="180" t="s">
        <v>529</v>
      </c>
    </row>
    <row r="173" spans="2:23">
      <c r="B173" s="259" t="s">
        <v>481</v>
      </c>
      <c r="C173" s="252"/>
      <c r="D173" s="36" t="s">
        <v>129</v>
      </c>
      <c r="E173" s="207">
        <v>199000</v>
      </c>
      <c r="F173" s="270" t="s">
        <v>19</v>
      </c>
      <c r="G173" s="270"/>
      <c r="I173" s="42">
        <f t="shared" si="23"/>
        <v>3</v>
      </c>
      <c r="J173" s="31">
        <f t="shared" si="24"/>
        <v>3000</v>
      </c>
      <c r="K173" s="47">
        <f t="shared" si="25"/>
        <v>6</v>
      </c>
      <c r="L173" s="47">
        <f t="shared" si="27"/>
        <v>6</v>
      </c>
      <c r="M173" s="47">
        <f t="shared" si="28"/>
        <v>3000</v>
      </c>
      <c r="N173" s="170">
        <f t="shared" si="29"/>
        <v>9000</v>
      </c>
      <c r="P173" s="337" t="s">
        <v>574</v>
      </c>
      <c r="Q173" s="338"/>
      <c r="R173" s="185" t="s">
        <v>533</v>
      </c>
      <c r="S173" s="179">
        <v>35.979999999999997</v>
      </c>
      <c r="T173" s="179">
        <v>37.49</v>
      </c>
      <c r="U173" s="179" t="s">
        <v>529</v>
      </c>
      <c r="V173" s="179" t="s">
        <v>529</v>
      </c>
      <c r="W173" s="180" t="s">
        <v>529</v>
      </c>
    </row>
    <row r="174" spans="2:23">
      <c r="B174" s="259" t="s">
        <v>482</v>
      </c>
      <c r="C174" s="252"/>
      <c r="D174" s="36" t="s">
        <v>483</v>
      </c>
      <c r="E174" s="165">
        <f>((3282*D20)/E173)*(D20^2)*(E170/1.72)</f>
        <v>0.5501446846420468</v>
      </c>
      <c r="F174" s="270" t="s">
        <v>484</v>
      </c>
      <c r="G174" s="270"/>
      <c r="I174" s="42">
        <f t="shared" si="23"/>
        <v>4</v>
      </c>
      <c r="J174" s="31">
        <f t="shared" si="24"/>
        <v>0</v>
      </c>
      <c r="K174" s="47">
        <f t="shared" si="25"/>
        <v>0</v>
      </c>
      <c r="L174" s="47">
        <f t="shared" si="27"/>
        <v>0</v>
      </c>
      <c r="M174" s="47">
        <f t="shared" si="28"/>
        <v>0</v>
      </c>
      <c r="N174" s="170">
        <f t="shared" si="29"/>
        <v>0</v>
      </c>
      <c r="P174" s="337" t="s">
        <v>575</v>
      </c>
      <c r="Q174" s="338"/>
      <c r="R174" s="185" t="s">
        <v>534</v>
      </c>
      <c r="S174" s="179">
        <v>47.24</v>
      </c>
      <c r="T174" s="179">
        <v>53.84</v>
      </c>
      <c r="U174" s="179" t="s">
        <v>529</v>
      </c>
      <c r="V174" s="179" t="s">
        <v>529</v>
      </c>
      <c r="W174" s="180" t="s">
        <v>529</v>
      </c>
    </row>
    <row r="175" spans="2:23">
      <c r="B175" s="260" t="s">
        <v>607</v>
      </c>
      <c r="C175" s="261"/>
      <c r="D175" s="262"/>
      <c r="E175" s="325" t="s">
        <v>569</v>
      </c>
      <c r="F175" s="326"/>
      <c r="G175" s="345"/>
      <c r="I175" s="42">
        <f t="shared" si="23"/>
        <v>5</v>
      </c>
      <c r="J175" s="31">
        <f t="shared" si="24"/>
        <v>0</v>
      </c>
      <c r="K175" s="47">
        <f t="shared" si="25"/>
        <v>0</v>
      </c>
      <c r="L175" s="47">
        <f t="shared" si="27"/>
        <v>0</v>
      </c>
      <c r="M175" s="47">
        <f t="shared" si="28"/>
        <v>0</v>
      </c>
      <c r="N175" s="170">
        <f t="shared" si="29"/>
        <v>0</v>
      </c>
      <c r="P175" s="337" t="s">
        <v>576</v>
      </c>
      <c r="Q175" s="338"/>
      <c r="R175" s="185" t="s">
        <v>535</v>
      </c>
      <c r="S175" s="179">
        <v>63.8</v>
      </c>
      <c r="T175" s="179">
        <v>74.680000000000007</v>
      </c>
      <c r="U175" s="179" t="s">
        <v>529</v>
      </c>
      <c r="V175" s="179" t="s">
        <v>529</v>
      </c>
      <c r="W175" s="180" t="s">
        <v>529</v>
      </c>
    </row>
    <row r="176" spans="2:23">
      <c r="B176" s="259" t="s">
        <v>486</v>
      </c>
      <c r="C176" s="252"/>
      <c r="D176" s="36" t="s">
        <v>487</v>
      </c>
      <c r="E176" s="45" cm="1">
        <f t="array" ref="E176">INDEX(Auxiliar!S5:V44,Auxiliar!X1,Auxiliar!R1)</f>
        <v>6.77</v>
      </c>
      <c r="F176" s="270" t="s">
        <v>479</v>
      </c>
      <c r="G176" s="270"/>
      <c r="I176" s="42">
        <f t="shared" si="23"/>
        <v>6</v>
      </c>
      <c r="J176" s="31">
        <f t="shared" si="24"/>
        <v>0</v>
      </c>
      <c r="K176" s="47">
        <f t="shared" si="25"/>
        <v>0</v>
      </c>
      <c r="L176" s="47">
        <f t="shared" si="27"/>
        <v>0</v>
      </c>
      <c r="M176" s="47">
        <f t="shared" si="28"/>
        <v>0</v>
      </c>
      <c r="N176" s="170">
        <f t="shared" si="29"/>
        <v>0</v>
      </c>
      <c r="P176" s="337" t="s">
        <v>577</v>
      </c>
      <c r="Q176" s="338"/>
      <c r="R176" s="185" t="s">
        <v>536</v>
      </c>
      <c r="S176" s="179">
        <v>71.09</v>
      </c>
      <c r="T176" s="179">
        <v>87.69</v>
      </c>
      <c r="U176" s="179" t="s">
        <v>529</v>
      </c>
      <c r="V176" s="179" t="s">
        <v>529</v>
      </c>
      <c r="W176" s="180" t="s">
        <v>529</v>
      </c>
    </row>
    <row r="177" spans="2:23">
      <c r="B177" s="259" t="s">
        <v>488</v>
      </c>
      <c r="C177" s="252"/>
      <c r="D177" s="351" t="str">
        <f>IF(E176&gt;=E171,"EL PERFIL CUMPLE","NO CUMPLE. SELECCIONA UNO MAYOR")</f>
        <v>EL PERFIL CUMPLE</v>
      </c>
      <c r="E177" s="352"/>
      <c r="F177" s="352"/>
      <c r="G177" s="353"/>
      <c r="I177" s="42">
        <f t="shared" si="23"/>
        <v>7</v>
      </c>
      <c r="J177" s="31">
        <f t="shared" si="24"/>
        <v>0</v>
      </c>
      <c r="K177" s="47">
        <f t="shared" si="25"/>
        <v>0</v>
      </c>
      <c r="L177" s="47">
        <f t="shared" si="27"/>
        <v>0</v>
      </c>
      <c r="M177" s="47">
        <f t="shared" si="28"/>
        <v>0</v>
      </c>
      <c r="N177" s="170">
        <f t="shared" si="29"/>
        <v>0</v>
      </c>
      <c r="P177" s="319" t="s">
        <v>578</v>
      </c>
      <c r="Q177" s="320"/>
      <c r="R177" s="184" t="s">
        <v>528</v>
      </c>
      <c r="S177" s="31">
        <v>28.09</v>
      </c>
      <c r="T177" s="31">
        <v>29.15</v>
      </c>
      <c r="U177" s="31">
        <v>30.73</v>
      </c>
      <c r="V177" s="31">
        <v>32.04</v>
      </c>
      <c r="W177" s="108">
        <v>32.69</v>
      </c>
    </row>
    <row r="178" spans="2:23">
      <c r="B178" s="259" t="s">
        <v>489</v>
      </c>
      <c r="C178" s="252"/>
      <c r="D178" s="36" t="s">
        <v>490</v>
      </c>
      <c r="E178" s="183" cm="1">
        <f t="array" ref="E178">INDEX(Auxiliar!Y5:AC44,Auxiliar!X1,1)</f>
        <v>65</v>
      </c>
      <c r="F178" s="270" t="s">
        <v>11</v>
      </c>
      <c r="G178" s="270"/>
      <c r="I178" s="42">
        <f t="shared" si="23"/>
        <v>8</v>
      </c>
      <c r="J178" s="31">
        <f t="shared" si="24"/>
        <v>0</v>
      </c>
      <c r="K178" s="47">
        <f t="shared" si="25"/>
        <v>0</v>
      </c>
      <c r="L178" s="47">
        <f t="shared" si="27"/>
        <v>0</v>
      </c>
      <c r="M178" s="47">
        <f t="shared" si="28"/>
        <v>0</v>
      </c>
      <c r="N178" s="170">
        <f t="shared" si="29"/>
        <v>0</v>
      </c>
      <c r="P178" s="319" t="s">
        <v>579</v>
      </c>
      <c r="Q178" s="320"/>
      <c r="R178" s="184" t="s">
        <v>530</v>
      </c>
      <c r="S178" s="31">
        <v>34.630000000000003</v>
      </c>
      <c r="T178" s="31">
        <v>36.200000000000003</v>
      </c>
      <c r="U178" s="31">
        <v>38.51</v>
      </c>
      <c r="V178" s="31">
        <v>40.32</v>
      </c>
      <c r="W178" s="108">
        <v>41.17</v>
      </c>
    </row>
    <row r="179" spans="2:23">
      <c r="B179" s="259" t="s">
        <v>491</v>
      </c>
      <c r="C179" s="252"/>
      <c r="D179" s="36" t="s">
        <v>492</v>
      </c>
      <c r="E179" s="183" cm="1">
        <f t="array" ref="E179">INDEX(Auxiliar!Y5:AC44,Auxiliar!X1,2)</f>
        <v>65</v>
      </c>
      <c r="F179" s="270" t="s">
        <v>11</v>
      </c>
      <c r="G179" s="270"/>
      <c r="I179" s="42">
        <f t="shared" si="23"/>
        <v>9</v>
      </c>
      <c r="J179" s="31">
        <f t="shared" si="24"/>
        <v>0</v>
      </c>
      <c r="K179" s="47">
        <f t="shared" si="25"/>
        <v>0</v>
      </c>
      <c r="L179" s="47">
        <f t="shared" si="27"/>
        <v>0</v>
      </c>
      <c r="M179" s="47">
        <f t="shared" si="28"/>
        <v>0</v>
      </c>
      <c r="N179" s="170">
        <f t="shared" si="29"/>
        <v>0</v>
      </c>
      <c r="P179" s="319" t="s">
        <v>580</v>
      </c>
      <c r="Q179" s="320"/>
      <c r="R179" s="184" t="s">
        <v>538</v>
      </c>
      <c r="S179" s="31">
        <v>60.59</v>
      </c>
      <c r="T179" s="31">
        <v>63.21</v>
      </c>
      <c r="U179" s="31">
        <v>66.88</v>
      </c>
      <c r="V179" s="31">
        <v>69.48</v>
      </c>
      <c r="W179" s="108">
        <v>70.59</v>
      </c>
    </row>
    <row r="180" spans="2:23">
      <c r="B180" s="259" t="s">
        <v>493</v>
      </c>
      <c r="C180" s="252"/>
      <c r="D180" s="36" t="s">
        <v>8</v>
      </c>
      <c r="E180" s="183" cm="1">
        <f t="array" ref="E180">INDEX(Auxiliar!Y5:AC44,Auxiliar!X1,3)</f>
        <v>6</v>
      </c>
      <c r="F180" s="270" t="s">
        <v>11</v>
      </c>
      <c r="G180" s="270"/>
      <c r="I180" s="42">
        <f t="shared" si="23"/>
        <v>10</v>
      </c>
      <c r="J180" s="31">
        <f t="shared" si="24"/>
        <v>0</v>
      </c>
      <c r="K180" s="47">
        <f t="shared" si="25"/>
        <v>0</v>
      </c>
      <c r="L180" s="47">
        <f t="shared" si="27"/>
        <v>0</v>
      </c>
      <c r="M180" s="47">
        <f t="shared" si="28"/>
        <v>0</v>
      </c>
      <c r="N180" s="170">
        <f t="shared" si="29"/>
        <v>0</v>
      </c>
      <c r="P180" s="319" t="s">
        <v>581</v>
      </c>
      <c r="Q180" s="320"/>
      <c r="R180" s="184" t="s">
        <v>539</v>
      </c>
      <c r="S180" s="31">
        <v>66.97</v>
      </c>
      <c r="T180" s="31">
        <v>70.08</v>
      </c>
      <c r="U180" s="31">
        <v>74.489999999999995</v>
      </c>
      <c r="V180" s="31">
        <v>77.599999999999994</v>
      </c>
      <c r="W180" s="108">
        <v>78.900000000000006</v>
      </c>
    </row>
    <row r="181" spans="2:23">
      <c r="B181" s="259" t="s">
        <v>494</v>
      </c>
      <c r="C181" s="252"/>
      <c r="D181" s="36" t="s">
        <v>495</v>
      </c>
      <c r="E181" s="183" cm="1">
        <f t="array" ref="E181">INDEX(Auxiliar!Y5:AC44,Auxiliar!X1,4)</f>
        <v>0</v>
      </c>
      <c r="F181" s="270" t="s">
        <v>11</v>
      </c>
      <c r="G181" s="270"/>
      <c r="I181" s="42">
        <f t="shared" si="23"/>
        <v>11</v>
      </c>
      <c r="J181" s="31">
        <f t="shared" si="24"/>
        <v>0</v>
      </c>
      <c r="K181" s="47">
        <f t="shared" si="25"/>
        <v>0</v>
      </c>
      <c r="L181" s="47">
        <f t="shared" si="27"/>
        <v>0</v>
      </c>
      <c r="M181" s="47">
        <f t="shared" si="28"/>
        <v>0</v>
      </c>
      <c r="N181" s="170">
        <f t="shared" si="29"/>
        <v>0</v>
      </c>
      <c r="P181" s="319" t="s">
        <v>582</v>
      </c>
      <c r="Q181" s="320"/>
      <c r="R181" s="184" t="s">
        <v>540</v>
      </c>
      <c r="S181" s="31">
        <v>89.41</v>
      </c>
      <c r="T181" s="31">
        <v>93.71</v>
      </c>
      <c r="U181" s="31">
        <v>99.86</v>
      </c>
      <c r="V181" s="31">
        <v>104.08</v>
      </c>
      <c r="W181" s="108">
        <v>105.78</v>
      </c>
    </row>
    <row r="182" spans="2:23" ht="15.75" thickBot="1">
      <c r="B182" s="259" t="s">
        <v>496</v>
      </c>
      <c r="C182" s="252"/>
      <c r="D182" s="36" t="s">
        <v>497</v>
      </c>
      <c r="E182" s="183" cm="1">
        <f t="array" ref="E182">INDEX(Auxiliar!Y5:AC44,Auxiliar!X1,5)</f>
        <v>96</v>
      </c>
      <c r="F182" s="270" t="s">
        <v>11</v>
      </c>
      <c r="G182" s="270"/>
      <c r="I182" s="43">
        <f t="shared" si="23"/>
        <v>12</v>
      </c>
      <c r="J182" s="97">
        <f t="shared" si="24"/>
        <v>0</v>
      </c>
      <c r="K182" s="135">
        <f t="shared" si="25"/>
        <v>0</v>
      </c>
      <c r="L182" s="135">
        <f t="shared" si="27"/>
        <v>0</v>
      </c>
      <c r="M182" s="135">
        <f t="shared" si="28"/>
        <v>0</v>
      </c>
      <c r="N182" s="171">
        <f t="shared" si="29"/>
        <v>0</v>
      </c>
      <c r="P182" s="319" t="s">
        <v>583</v>
      </c>
      <c r="Q182" s="320"/>
      <c r="R182" s="184" t="s">
        <v>541</v>
      </c>
      <c r="S182" s="31">
        <v>105.2</v>
      </c>
      <c r="T182" s="31">
        <v>110.77</v>
      </c>
      <c r="U182" s="31">
        <v>118.97</v>
      </c>
      <c r="V182" s="31">
        <v>124.68</v>
      </c>
      <c r="W182" s="108">
        <v>126.97</v>
      </c>
    </row>
    <row r="183" spans="2:23">
      <c r="B183" s="259" t="s">
        <v>498</v>
      </c>
      <c r="C183" s="252"/>
      <c r="D183" s="351" t="str">
        <f>IF(E178&gt;(16*E180),"SE NECESITAN SOPORTES ADICIONALES","NO SE NECESITAN SOPORTES")</f>
        <v>NO SE NECESITAN SOPORTES</v>
      </c>
      <c r="E183" s="352"/>
      <c r="F183" s="352"/>
      <c r="G183" s="353"/>
      <c r="I183" s="380" t="s">
        <v>512</v>
      </c>
      <c r="J183" s="381"/>
      <c r="K183" s="382"/>
      <c r="L183" s="68" t="s">
        <v>513</v>
      </c>
      <c r="M183" s="172">
        <f>MAX(N171:N182)</f>
        <v>9000</v>
      </c>
      <c r="N183" s="69" t="s">
        <v>11</v>
      </c>
      <c r="P183" s="319" t="s">
        <v>584</v>
      </c>
      <c r="Q183" s="320"/>
      <c r="R183" s="184" t="s">
        <v>542</v>
      </c>
      <c r="S183" s="31">
        <v>134.13999999999999</v>
      </c>
      <c r="T183" s="31">
        <v>141.38</v>
      </c>
      <c r="U183" s="31">
        <v>152.24</v>
      </c>
      <c r="V183" s="31">
        <v>159.79</v>
      </c>
      <c r="W183" s="108">
        <v>162.78</v>
      </c>
    </row>
    <row r="184" spans="2:23">
      <c r="B184" s="259" t="s">
        <v>499</v>
      </c>
      <c r="C184" s="252"/>
      <c r="D184" s="36" t="s">
        <v>500</v>
      </c>
      <c r="E184" s="45" t="str">
        <f>IF(D183="SE NECESITAN SOPORTES ADICIONALES",(24*E178/1000), "NO APLICA")</f>
        <v>NO APLICA</v>
      </c>
      <c r="F184" s="272" t="s">
        <v>10</v>
      </c>
      <c r="G184" s="272"/>
      <c r="I184" s="250" t="s">
        <v>514</v>
      </c>
      <c r="J184" s="251"/>
      <c r="K184" s="252"/>
      <c r="L184" s="36" t="s">
        <v>513</v>
      </c>
      <c r="M184" s="173">
        <f>M183/1000</f>
        <v>9</v>
      </c>
      <c r="N184" s="37" t="s">
        <v>10</v>
      </c>
      <c r="P184" s="319" t="s">
        <v>521</v>
      </c>
      <c r="Q184" s="320"/>
      <c r="R184" s="184" t="s">
        <v>543</v>
      </c>
      <c r="S184" s="31">
        <v>155.91</v>
      </c>
      <c r="T184" s="31">
        <v>171.17</v>
      </c>
      <c r="U184" s="31">
        <v>184.11</v>
      </c>
      <c r="V184" s="31">
        <v>193.08</v>
      </c>
      <c r="W184" s="108">
        <v>196.62</v>
      </c>
    </row>
    <row r="185" spans="2:23">
      <c r="I185" s="250" t="s">
        <v>515</v>
      </c>
      <c r="J185" s="251"/>
      <c r="K185" s="252"/>
      <c r="L185" s="351" t="str">
        <f>IF(M184&gt;M166,"SE NECESITA VIGA INTERMEDIA","NO SE NECESITA VIGA INTERMEDIA")</f>
        <v>NO SE NECESITA VIGA INTERMEDIA</v>
      </c>
      <c r="M185" s="352"/>
      <c r="N185" s="383"/>
      <c r="P185" s="337" t="s">
        <v>585</v>
      </c>
      <c r="Q185" s="338"/>
      <c r="R185" s="185" t="s">
        <v>545</v>
      </c>
      <c r="S185" s="179">
        <v>181.22</v>
      </c>
      <c r="T185" s="179">
        <v>186.49</v>
      </c>
      <c r="U185" s="179">
        <v>195.15</v>
      </c>
      <c r="V185" s="179">
        <v>201.83</v>
      </c>
      <c r="W185" s="180">
        <v>204.62</v>
      </c>
    </row>
    <row r="186" spans="2:23">
      <c r="I186" s="250" t="s">
        <v>516</v>
      </c>
      <c r="J186" s="251"/>
      <c r="K186" s="252"/>
      <c r="L186" s="36" t="s">
        <v>517</v>
      </c>
      <c r="M186" s="187" t="str">
        <f>IF(L185="NO SE NECESITA VIGA INTERMEDIA", "NO APLICA",M184/2)</f>
        <v>NO APLICA</v>
      </c>
      <c r="N186" s="37" t="s">
        <v>10</v>
      </c>
      <c r="P186" s="337" t="s">
        <v>586</v>
      </c>
      <c r="Q186" s="338"/>
      <c r="R186" s="185" t="s">
        <v>546</v>
      </c>
      <c r="S186" s="179">
        <v>216.81</v>
      </c>
      <c r="T186" s="179">
        <v>223.37</v>
      </c>
      <c r="U186" s="179">
        <v>234.55</v>
      </c>
      <c r="V186" s="179">
        <v>243.41</v>
      </c>
      <c r="W186" s="180">
        <v>247.16</v>
      </c>
    </row>
    <row r="187" spans="2:23">
      <c r="I187" s="250" t="s">
        <v>518</v>
      </c>
      <c r="J187" s="251"/>
      <c r="K187" s="252"/>
      <c r="L187" s="36" t="s">
        <v>519</v>
      </c>
      <c r="M187" s="187" t="str">
        <f>IF(L185="NO SE NECESITA VIGA INTERMEDIA", "NO APLICA",M186*1000)</f>
        <v>NO APLICA</v>
      </c>
      <c r="N187" s="75" t="s">
        <v>11</v>
      </c>
      <c r="P187" s="337" t="s">
        <v>587</v>
      </c>
      <c r="Q187" s="338"/>
      <c r="R187" s="185" t="s">
        <v>540</v>
      </c>
      <c r="S187" s="179">
        <v>249.17</v>
      </c>
      <c r="T187" s="179">
        <v>254.84</v>
      </c>
      <c r="U187" s="179">
        <v>269.58999999999997</v>
      </c>
      <c r="V187" s="179">
        <v>279.39</v>
      </c>
      <c r="W187" s="180">
        <v>283.45</v>
      </c>
    </row>
    <row r="188" spans="2:23">
      <c r="I188" s="174" t="s">
        <v>520</v>
      </c>
      <c r="J188" s="175"/>
      <c r="K188" s="176"/>
      <c r="L188" s="77" t="s">
        <v>478</v>
      </c>
      <c r="M188" s="187" t="str">
        <f>IF(L185="NO SE NECESITA VIGA INTERMEDIA","NO APLICA",IF(D20&lt;=61,((6*M186*D20^2)/(0.5*E168))*(E170/1.72),((6*D21*61^2)/(0.5*D53))*(E170/1.72)))</f>
        <v>NO APLICA</v>
      </c>
      <c r="N188" s="72" t="s">
        <v>479</v>
      </c>
      <c r="P188" s="337" t="s">
        <v>588</v>
      </c>
      <c r="Q188" s="338"/>
      <c r="R188" s="185" t="s">
        <v>541</v>
      </c>
      <c r="S188" s="179">
        <v>289.77</v>
      </c>
      <c r="T188" s="179">
        <v>308.17</v>
      </c>
      <c r="U188" s="179">
        <v>324.39999999999998</v>
      </c>
      <c r="V188" s="179">
        <v>337.32</v>
      </c>
      <c r="W188" s="180">
        <v>342.77</v>
      </c>
    </row>
    <row r="189" spans="2:23">
      <c r="I189" s="323" t="s">
        <v>607</v>
      </c>
      <c r="J189" s="324"/>
      <c r="K189" s="324"/>
      <c r="L189" s="325" t="s">
        <v>521</v>
      </c>
      <c r="M189" s="326"/>
      <c r="N189" s="327"/>
      <c r="P189" s="337" t="s">
        <v>589</v>
      </c>
      <c r="Q189" s="338"/>
      <c r="R189" s="185" t="s">
        <v>547</v>
      </c>
      <c r="S189" s="179">
        <v>324.97000000000003</v>
      </c>
      <c r="T189" s="179">
        <v>335.45</v>
      </c>
      <c r="U189" s="179">
        <v>353.12</v>
      </c>
      <c r="V189" s="179">
        <v>366.82</v>
      </c>
      <c r="W189" s="180">
        <v>372.48</v>
      </c>
    </row>
    <row r="190" spans="2:23">
      <c r="I190" s="339" t="s">
        <v>486</v>
      </c>
      <c r="J190" s="340"/>
      <c r="K190" s="341"/>
      <c r="L190" s="36" t="s">
        <v>487</v>
      </c>
      <c r="M190" s="131" t="str" cm="1">
        <f t="array" ref="M190">IF(L185="NO SE NECESITA VIGA INTERMEDIA","NO APLICA",INDEX(Auxiliar!S5:V44,Auxiliar!X2,Auxiliar!R1))</f>
        <v>NO APLICA</v>
      </c>
      <c r="N190" s="37" t="s">
        <v>479</v>
      </c>
      <c r="P190" s="337" t="s">
        <v>590</v>
      </c>
      <c r="Q190" s="338"/>
      <c r="R190" s="185" t="s">
        <v>542</v>
      </c>
      <c r="S190" s="179">
        <v>390.24</v>
      </c>
      <c r="T190" s="179">
        <v>402.92</v>
      </c>
      <c r="U190" s="179">
        <v>425.14</v>
      </c>
      <c r="V190" s="179">
        <v>443.06</v>
      </c>
      <c r="W190" s="180">
        <v>450.61</v>
      </c>
    </row>
    <row r="191" spans="2:23">
      <c r="I191" s="339" t="s">
        <v>488</v>
      </c>
      <c r="J191" s="340"/>
      <c r="K191" s="341"/>
      <c r="L191" s="342" t="str">
        <f>IF(L185="NO SE NECESITA VIGA INTERMEDIA","NO APLICA",IF(M190&gt;=M188,"EL PERFIL CUMPLE","NO CUMPLE. SELECCIONA UNO MAYOR"))</f>
        <v>NO APLICA</v>
      </c>
      <c r="M191" s="343"/>
      <c r="N191" s="344"/>
      <c r="P191" s="337" t="s">
        <v>485</v>
      </c>
      <c r="Q191" s="338"/>
      <c r="R191" s="185" t="s">
        <v>543</v>
      </c>
      <c r="S191" s="179">
        <v>461.11</v>
      </c>
      <c r="T191" s="179">
        <v>473.57</v>
      </c>
      <c r="U191" s="179">
        <v>495.62</v>
      </c>
      <c r="V191" s="179">
        <v>513.69000000000005</v>
      </c>
      <c r="W191" s="180">
        <v>521.41</v>
      </c>
    </row>
    <row r="192" spans="2:23">
      <c r="I192" s="339" t="s">
        <v>489</v>
      </c>
      <c r="J192" s="340"/>
      <c r="K192" s="341"/>
      <c r="L192" s="36" t="s">
        <v>490</v>
      </c>
      <c r="M192" s="187" t="str" cm="1">
        <f t="array" ref="M192">IF(L185="NO SE NECESITA VIGA INTERMEDIA","NO APLICA",INDEX(Auxiliar!Y5:AC44,Auxiliar!X2,1))</f>
        <v>NO APLICA</v>
      </c>
      <c r="N192" s="37" t="s">
        <v>11</v>
      </c>
      <c r="P192" s="319" t="s">
        <v>591</v>
      </c>
      <c r="Q192" s="320"/>
      <c r="R192" s="184" t="s">
        <v>549</v>
      </c>
      <c r="S192" s="31" t="s">
        <v>529</v>
      </c>
      <c r="T192" s="31">
        <v>341</v>
      </c>
      <c r="U192" s="31">
        <v>375</v>
      </c>
      <c r="V192" s="31">
        <v>392</v>
      </c>
      <c r="W192" s="108">
        <v>399</v>
      </c>
    </row>
    <row r="193" spans="9:23">
      <c r="I193" s="339" t="s">
        <v>491</v>
      </c>
      <c r="J193" s="340"/>
      <c r="K193" s="341"/>
      <c r="L193" s="36" t="s">
        <v>492</v>
      </c>
      <c r="M193" s="187" t="str" cm="1">
        <f t="array" ref="M193">IF(L185="NO SE NECESITA VIGA INTERMEDIA","NO APLICA",INDEX(Auxiliar!Y5:AC44,Auxiliar!X2,2))</f>
        <v>NO APLICA</v>
      </c>
      <c r="N193" s="37" t="s">
        <v>11</v>
      </c>
      <c r="P193" s="319" t="s">
        <v>592</v>
      </c>
      <c r="Q193" s="320"/>
      <c r="R193" s="184" t="s">
        <v>550</v>
      </c>
      <c r="S193" s="31" t="s">
        <v>529</v>
      </c>
      <c r="T193" s="31">
        <v>427</v>
      </c>
      <c r="U193" s="31">
        <v>473</v>
      </c>
      <c r="V193" s="31">
        <v>496</v>
      </c>
      <c r="W193" s="108">
        <v>505</v>
      </c>
    </row>
    <row r="194" spans="9:23">
      <c r="I194" s="339" t="s">
        <v>493</v>
      </c>
      <c r="J194" s="340"/>
      <c r="K194" s="341"/>
      <c r="L194" s="36" t="s">
        <v>8</v>
      </c>
      <c r="M194" s="187" t="str" cm="1">
        <f t="array" ref="M194">IF(L185="NO SE NECESITA VIGA INTERMEDIA","NO APLICA",INDEX(Auxiliar!Y5:AC44,Auxiliar!X2,3))</f>
        <v>NO APLICA</v>
      </c>
      <c r="N194" s="37" t="s">
        <v>11</v>
      </c>
      <c r="P194" s="319" t="s">
        <v>593</v>
      </c>
      <c r="Q194" s="320"/>
      <c r="R194" s="184" t="s">
        <v>551</v>
      </c>
      <c r="S194" s="31" t="s">
        <v>529</v>
      </c>
      <c r="T194" s="31">
        <v>519</v>
      </c>
      <c r="U194" s="31">
        <v>577</v>
      </c>
      <c r="V194" s="31">
        <v>606</v>
      </c>
      <c r="W194" s="108">
        <v>618</v>
      </c>
    </row>
    <row r="195" spans="9:23">
      <c r="I195" s="339" t="s">
        <v>494</v>
      </c>
      <c r="J195" s="340"/>
      <c r="K195" s="341"/>
      <c r="L195" s="36" t="s">
        <v>495</v>
      </c>
      <c r="M195" s="187" t="str" cm="1">
        <f t="array" ref="M195">IF(L185="NO SE NECESITA VIGA INTERMEDIA","NO APLICA",INDEX(Auxiliar!Y5:AC44,Auxiliar!X2,4))</f>
        <v>NO APLICA</v>
      </c>
      <c r="N195" s="37" t="s">
        <v>11</v>
      </c>
      <c r="P195" s="319" t="s">
        <v>594</v>
      </c>
      <c r="Q195" s="320"/>
      <c r="R195" s="184" t="s">
        <v>552</v>
      </c>
      <c r="S195" s="31" t="s">
        <v>529</v>
      </c>
      <c r="T195" s="31">
        <v>615</v>
      </c>
      <c r="U195" s="31">
        <v>687</v>
      </c>
      <c r="V195" s="31">
        <v>723</v>
      </c>
      <c r="W195" s="108">
        <v>737</v>
      </c>
    </row>
    <row r="196" spans="9:23">
      <c r="I196" s="339" t="s">
        <v>496</v>
      </c>
      <c r="J196" s="340"/>
      <c r="K196" s="341"/>
      <c r="L196" s="36" t="s">
        <v>497</v>
      </c>
      <c r="M196" s="187" t="str" cm="1">
        <f t="array" ref="M196">IF(L185="NO SE NECESITA VIGA INTERMEDIA","NO APLICA",INDEX(Auxiliar!Y5:AC44,Auxiliar!X2,5))</f>
        <v>NO APLICA</v>
      </c>
      <c r="N196" s="37" t="s">
        <v>11</v>
      </c>
      <c r="P196" s="319" t="s">
        <v>595</v>
      </c>
      <c r="Q196" s="320"/>
      <c r="R196" s="184" t="s">
        <v>553</v>
      </c>
      <c r="S196" s="31" t="s">
        <v>529</v>
      </c>
      <c r="T196" s="31">
        <v>717</v>
      </c>
      <c r="U196" s="31">
        <v>802</v>
      </c>
      <c r="V196" s="31">
        <v>846</v>
      </c>
      <c r="W196" s="108">
        <v>864</v>
      </c>
    </row>
    <row r="197" spans="9:23">
      <c r="I197" s="339" t="s">
        <v>498</v>
      </c>
      <c r="J197" s="340"/>
      <c r="K197" s="341"/>
      <c r="L197" s="342" t="str">
        <f>IF(L185="NO SE NECESITA VIGA INTERMEDIA","NO APLICA",IF(M192&gt;(16*M194),"SE NECESITAN SOPORTES ADICIONALES","NO SE NECESITAN SOPORTES"))</f>
        <v>NO APLICA</v>
      </c>
      <c r="M197" s="343"/>
      <c r="N197" s="344"/>
      <c r="P197" s="319" t="s">
        <v>596</v>
      </c>
      <c r="Q197" s="320"/>
      <c r="R197" s="184" t="s">
        <v>554</v>
      </c>
      <c r="S197" s="31" t="s">
        <v>529</v>
      </c>
      <c r="T197" s="31">
        <v>824</v>
      </c>
      <c r="U197" s="31">
        <v>923</v>
      </c>
      <c r="V197" s="31">
        <v>976</v>
      </c>
      <c r="W197" s="108">
        <v>996</v>
      </c>
    </row>
    <row r="198" spans="9:23">
      <c r="I198" s="339" t="s">
        <v>499</v>
      </c>
      <c r="J198" s="340"/>
      <c r="K198" s="341"/>
      <c r="L198" s="36" t="s">
        <v>500</v>
      </c>
      <c r="M198" s="45" t="str">
        <f>IF(L197="SE NECESITAN SOPORTES ADICIONALES",(24*M192/1000), "NO APLICA")</f>
        <v>NO APLICA</v>
      </c>
      <c r="N198" s="37" t="s">
        <v>10</v>
      </c>
      <c r="P198" s="319" t="s">
        <v>597</v>
      </c>
      <c r="Q198" s="320"/>
      <c r="R198" s="184" t="s">
        <v>555</v>
      </c>
      <c r="S198" s="31" t="s">
        <v>529</v>
      </c>
      <c r="T198" s="31">
        <v>937</v>
      </c>
      <c r="U198" s="31">
        <v>1049</v>
      </c>
      <c r="V198" s="31">
        <v>1111</v>
      </c>
      <c r="W198" s="108">
        <v>1135</v>
      </c>
    </row>
    <row r="199" spans="9:23" ht="15.75" thickBot="1">
      <c r="I199" s="346" t="s">
        <v>522</v>
      </c>
      <c r="J199" s="347"/>
      <c r="K199" s="347"/>
      <c r="L199" s="348" t="str">
        <f>IF(L185="NO SE NECESITA VIGA INTERMEDIA","NO APLICA",IF((M184/2)&gt;M166,"SI, NECESITAMOS OTRA","NO SE NECESITAN MÁS VIGAS"))</f>
        <v>NO APLICA</v>
      </c>
      <c r="M199" s="349"/>
      <c r="N199" s="350"/>
      <c r="P199" s="319" t="s">
        <v>598</v>
      </c>
      <c r="Q199" s="320"/>
      <c r="R199" s="184" t="s">
        <v>556</v>
      </c>
      <c r="S199" s="31" t="s">
        <v>529</v>
      </c>
      <c r="T199" s="31">
        <v>1054</v>
      </c>
      <c r="U199" s="31">
        <v>1181</v>
      </c>
      <c r="V199" s="31">
        <v>1252</v>
      </c>
      <c r="W199" s="108">
        <v>1280</v>
      </c>
    </row>
    <row r="200" spans="9:23">
      <c r="P200" s="319" t="s">
        <v>599</v>
      </c>
      <c r="Q200" s="320"/>
      <c r="R200" s="184" t="s">
        <v>557</v>
      </c>
      <c r="S200" s="31" t="s">
        <v>529</v>
      </c>
      <c r="T200" s="31">
        <v>1176</v>
      </c>
      <c r="U200" s="31">
        <v>1317</v>
      </c>
      <c r="V200" s="31">
        <v>1399</v>
      </c>
      <c r="W200" s="108">
        <v>1432</v>
      </c>
    </row>
    <row r="201" spans="9:23">
      <c r="P201" s="319" t="s">
        <v>600</v>
      </c>
      <c r="Q201" s="320"/>
      <c r="R201" s="184" t="s">
        <v>558</v>
      </c>
      <c r="S201" s="31" t="s">
        <v>529</v>
      </c>
      <c r="T201" s="31">
        <v>1304</v>
      </c>
      <c r="U201" s="31">
        <v>1459</v>
      </c>
      <c r="V201" s="31">
        <v>1551</v>
      </c>
      <c r="W201" s="108">
        <v>1589</v>
      </c>
    </row>
    <row r="202" spans="9:23">
      <c r="P202" s="319" t="s">
        <v>601</v>
      </c>
      <c r="Q202" s="320"/>
      <c r="R202" s="184" t="s">
        <v>559</v>
      </c>
      <c r="S202" s="31" t="s">
        <v>529</v>
      </c>
      <c r="T202" s="31">
        <v>1436</v>
      </c>
      <c r="U202" s="31">
        <v>1607</v>
      </c>
      <c r="V202" s="31">
        <v>1709</v>
      </c>
      <c r="W202" s="108">
        <v>1752</v>
      </c>
    </row>
    <row r="203" spans="9:23">
      <c r="P203" s="319" t="s">
        <v>602</v>
      </c>
      <c r="Q203" s="320"/>
      <c r="R203" s="184" t="s">
        <v>560</v>
      </c>
      <c r="S203" s="31" t="s">
        <v>529</v>
      </c>
      <c r="T203" s="31">
        <v>1573</v>
      </c>
      <c r="U203" s="31">
        <v>1759</v>
      </c>
      <c r="V203" s="31">
        <v>1873</v>
      </c>
      <c r="W203" s="108">
        <v>1921</v>
      </c>
    </row>
    <row r="204" spans="9:23">
      <c r="P204" s="319" t="s">
        <v>603</v>
      </c>
      <c r="Q204" s="320"/>
      <c r="R204" s="184" t="s">
        <v>561</v>
      </c>
      <c r="S204" s="31" t="s">
        <v>529</v>
      </c>
      <c r="T204" s="31">
        <v>1716</v>
      </c>
      <c r="U204" s="31">
        <v>1917</v>
      </c>
      <c r="V204" s="31">
        <v>2043</v>
      </c>
      <c r="W204" s="108">
        <v>2096</v>
      </c>
    </row>
    <row r="205" spans="9:23">
      <c r="P205" s="319" t="s">
        <v>604</v>
      </c>
      <c r="Q205" s="320"/>
      <c r="R205" s="184" t="s">
        <v>562</v>
      </c>
      <c r="S205" s="31" t="s">
        <v>529</v>
      </c>
      <c r="T205" s="31">
        <v>1864</v>
      </c>
      <c r="U205" s="31">
        <v>2080</v>
      </c>
      <c r="V205" s="31">
        <v>2218</v>
      </c>
      <c r="W205" s="108">
        <v>2276</v>
      </c>
    </row>
    <row r="206" spans="9:23">
      <c r="P206" s="319" t="s">
        <v>605</v>
      </c>
      <c r="Q206" s="320"/>
      <c r="R206" s="184" t="s">
        <v>563</v>
      </c>
      <c r="S206" s="31" t="s">
        <v>529</v>
      </c>
      <c r="T206" s="31">
        <v>2016</v>
      </c>
      <c r="U206" s="31">
        <v>2248</v>
      </c>
      <c r="V206" s="31">
        <v>2398</v>
      </c>
      <c r="W206" s="108">
        <v>2463</v>
      </c>
    </row>
    <row r="207" spans="9:23" ht="15.75" thickBot="1">
      <c r="P207" s="321" t="s">
        <v>606</v>
      </c>
      <c r="Q207" s="322"/>
      <c r="R207" s="186" t="s">
        <v>564</v>
      </c>
      <c r="S207" s="97" t="s">
        <v>529</v>
      </c>
      <c r="T207" s="97">
        <v>2174</v>
      </c>
      <c r="U207" s="97">
        <v>2421</v>
      </c>
      <c r="V207" s="97">
        <v>2584</v>
      </c>
      <c r="W207" s="110">
        <v>2654</v>
      </c>
    </row>
    <row r="208" spans="9:23" ht="15.75" thickBot="1"/>
    <row r="209" spans="2:23" ht="30.75" thickBot="1">
      <c r="B209" s="231" t="s">
        <v>311</v>
      </c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2"/>
      <c r="N209" s="232"/>
      <c r="O209" s="232"/>
      <c r="P209" s="232"/>
      <c r="Q209" s="232"/>
      <c r="R209" s="232"/>
      <c r="S209" s="232"/>
      <c r="T209" s="232"/>
      <c r="U209" s="232"/>
      <c r="V209" s="232"/>
      <c r="W209" s="233"/>
    </row>
    <row r="211" spans="2:23" ht="15.75" thickBot="1"/>
    <row r="212" spans="2:23">
      <c r="G212" s="394" t="s">
        <v>360</v>
      </c>
      <c r="H212" s="395"/>
      <c r="I212" s="395"/>
      <c r="J212" s="395"/>
      <c r="K212" s="395"/>
      <c r="L212" s="395"/>
      <c r="M212" s="396"/>
      <c r="O212" s="368" t="s">
        <v>418</v>
      </c>
      <c r="P212" s="369"/>
      <c r="Q212" s="369"/>
      <c r="R212" s="369"/>
      <c r="S212" s="369"/>
      <c r="T212" s="370"/>
    </row>
    <row r="213" spans="2:23">
      <c r="G213" s="371" t="s">
        <v>361</v>
      </c>
      <c r="H213" s="372"/>
      <c r="I213" s="372"/>
      <c r="J213" s="372"/>
      <c r="K213" s="318" t="s">
        <v>114</v>
      </c>
      <c r="L213" s="318" t="s">
        <v>2</v>
      </c>
      <c r="M213" s="390" t="s">
        <v>115</v>
      </c>
      <c r="O213" s="371" t="s">
        <v>361</v>
      </c>
      <c r="P213" s="372"/>
      <c r="Q213" s="372"/>
      <c r="R213" s="318" t="s">
        <v>114</v>
      </c>
      <c r="S213" s="318" t="s">
        <v>2</v>
      </c>
      <c r="T213" s="390" t="s">
        <v>115</v>
      </c>
    </row>
    <row r="214" spans="2:23">
      <c r="G214" s="371"/>
      <c r="H214" s="372"/>
      <c r="I214" s="372"/>
      <c r="J214" s="372"/>
      <c r="K214" s="318"/>
      <c r="L214" s="318"/>
      <c r="M214" s="390"/>
      <c r="O214" s="371"/>
      <c r="P214" s="372"/>
      <c r="Q214" s="372"/>
      <c r="R214" s="318"/>
      <c r="S214" s="318"/>
      <c r="T214" s="390"/>
    </row>
    <row r="215" spans="2:23">
      <c r="G215" s="263" t="s">
        <v>362</v>
      </c>
      <c r="H215" s="264"/>
      <c r="I215" s="264"/>
      <c r="J215" s="264"/>
      <c r="K215" s="36" t="s">
        <v>363</v>
      </c>
      <c r="L215" s="31">
        <f>D63*(1-0.4*D73)</f>
        <v>0.8</v>
      </c>
      <c r="M215" s="37"/>
      <c r="O215" s="354" t="s">
        <v>419</v>
      </c>
      <c r="P215" s="355"/>
      <c r="Q215" s="355"/>
      <c r="R215" s="36" t="s">
        <v>420</v>
      </c>
      <c r="S215" s="121">
        <f>IF(OR(C32="Mecánicamente Anclado",L245&lt;=0.785),((L241*(1+0.4*D73))+(1.273*L240/D20^2))*(1/(1000*(I61-D27))),(((L241*(1+0.4*D73)+L243)/(1.607-0.18667*L245^(2.3)))-L243)*(1/(1000*(I61-D27))))</f>
        <v>-5.3448542944525048</v>
      </c>
      <c r="T215" s="37" t="s">
        <v>19</v>
      </c>
    </row>
    <row r="216" spans="2:23">
      <c r="G216" s="263" t="s">
        <v>364</v>
      </c>
      <c r="H216" s="264"/>
      <c r="I216" s="264"/>
      <c r="J216" s="264"/>
      <c r="K216" s="36" t="s">
        <v>365</v>
      </c>
      <c r="L216" s="126">
        <f>2/3</f>
        <v>0.66666666666666663</v>
      </c>
      <c r="M216" s="37"/>
      <c r="O216" s="354" t="s">
        <v>421</v>
      </c>
      <c r="P216" s="355"/>
      <c r="Q216" s="355"/>
      <c r="R216" s="36" t="s">
        <v>422</v>
      </c>
      <c r="S216" s="121">
        <f>IF(((D63*D21*D20^2)/((I61-D27)^2))&gt;=44,83*((I61-D27)/D20),((83*((I61-D27)/(2.5*D20)))+7.5*(SQRT(D63*D21))))</f>
        <v>50.166666666666664</v>
      </c>
      <c r="T216" s="37" t="s">
        <v>19</v>
      </c>
    </row>
    <row r="217" spans="2:23">
      <c r="G217" s="263" t="s">
        <v>366</v>
      </c>
      <c r="H217" s="264"/>
      <c r="I217" s="264"/>
      <c r="J217" s="264"/>
      <c r="K217" s="36" t="s">
        <v>330</v>
      </c>
      <c r="L217" s="31">
        <f>IF(D75="I",1,IF(D75="II",1.25,IF(D75="III",1.5,"Revisa el SUG")))</f>
        <v>1</v>
      </c>
      <c r="M217" s="37"/>
      <c r="O217" s="354" t="s">
        <v>423</v>
      </c>
      <c r="P217" s="355"/>
      <c r="Q217" s="355"/>
      <c r="R217" s="36" t="s">
        <v>424</v>
      </c>
      <c r="S217" s="31">
        <f>0.5*D38</f>
        <v>125</v>
      </c>
      <c r="T217" s="37" t="s">
        <v>19</v>
      </c>
    </row>
    <row r="218" spans="2:23" ht="15.75" thickBot="1">
      <c r="G218" s="263" t="s">
        <v>367</v>
      </c>
      <c r="H218" s="264"/>
      <c r="I218" s="264"/>
      <c r="J218" s="264"/>
      <c r="K218" s="36" t="s">
        <v>368</v>
      </c>
      <c r="L218" s="31">
        <f>IF(C32="Mecánicamente anclado",4,3.5)</f>
        <v>3.5</v>
      </c>
      <c r="M218" s="37"/>
      <c r="O218" s="358" t="str">
        <f>IF(S216&lt;S217,"CUMPLE","NO CUMPLE")</f>
        <v>CUMPLE</v>
      </c>
      <c r="P218" s="359"/>
      <c r="Q218" s="359"/>
      <c r="R218" s="359"/>
      <c r="S218" s="359"/>
      <c r="T218" s="360"/>
    </row>
    <row r="219" spans="2:23">
      <c r="G219" s="263" t="s">
        <v>367</v>
      </c>
      <c r="H219" s="264"/>
      <c r="I219" s="264"/>
      <c r="J219" s="264"/>
      <c r="K219" s="36" t="s">
        <v>369</v>
      </c>
      <c r="L219" s="31">
        <f>IF(C32="Mecánicamente anclado",2,2)</f>
        <v>2</v>
      </c>
      <c r="M219" s="37"/>
    </row>
    <row r="220" spans="2:23">
      <c r="G220" s="263" t="s">
        <v>370</v>
      </c>
      <c r="H220" s="264"/>
      <c r="I220" s="264"/>
      <c r="J220" s="264"/>
      <c r="K220" s="36" t="s">
        <v>371</v>
      </c>
      <c r="L220" s="31">
        <f>2.5*D74</f>
        <v>0.57500000000000007</v>
      </c>
      <c r="M220" s="37" t="s">
        <v>315</v>
      </c>
    </row>
    <row r="221" spans="2:23">
      <c r="G221" s="263" t="s">
        <v>372</v>
      </c>
      <c r="H221" s="264"/>
      <c r="I221" s="264"/>
      <c r="J221" s="264"/>
      <c r="K221" s="36" t="s">
        <v>373</v>
      </c>
      <c r="L221" s="31">
        <f>0.4*L220</f>
        <v>0.23000000000000004</v>
      </c>
      <c r="M221" s="37" t="s">
        <v>315</v>
      </c>
    </row>
    <row r="222" spans="2:23">
      <c r="G222" s="263" t="s">
        <v>374</v>
      </c>
      <c r="H222" s="264"/>
      <c r="I222" s="264"/>
      <c r="J222" s="264"/>
      <c r="K222" s="36" t="s">
        <v>375</v>
      </c>
      <c r="L222" s="120">
        <f>1.25*D74</f>
        <v>0.28750000000000003</v>
      </c>
      <c r="M222" s="37" t="s">
        <v>315</v>
      </c>
    </row>
    <row r="223" spans="2:23">
      <c r="G223" s="263" t="s">
        <v>376</v>
      </c>
      <c r="H223" s="264"/>
      <c r="I223" s="264"/>
      <c r="J223" s="264"/>
      <c r="K223" s="36" t="s">
        <v>167</v>
      </c>
      <c r="L223" s="31" cm="1">
        <f t="array" ref="L223">INDEX(Auxiliar!K6:O11,Auxiliar!K2,Auxiliar!L2)</f>
        <v>1.2</v>
      </c>
      <c r="M223" s="37"/>
    </row>
    <row r="224" spans="2:23">
      <c r="G224" s="263" t="s">
        <v>377</v>
      </c>
      <c r="H224" s="264"/>
      <c r="I224" s="264"/>
      <c r="J224" s="264"/>
      <c r="K224" s="36" t="s">
        <v>378</v>
      </c>
      <c r="L224" s="31" cm="1">
        <f t="array" ref="L224">INDEX(Auxiliar!K17:O22,Auxiliar!K13,Auxiliar!L13)</f>
        <v>2.8</v>
      </c>
      <c r="M224" s="37"/>
    </row>
    <row r="225" spans="7:20">
      <c r="G225" s="263" t="s">
        <v>379</v>
      </c>
      <c r="H225" s="264"/>
      <c r="I225" s="264"/>
      <c r="J225" s="264"/>
      <c r="K225" s="36" t="s">
        <v>380</v>
      </c>
      <c r="L225" s="121">
        <f>L216*L223*L220</f>
        <v>0.46</v>
      </c>
      <c r="M225" s="37" t="s">
        <v>315</v>
      </c>
    </row>
    <row r="226" spans="7:20">
      <c r="G226" s="263" t="s">
        <v>381</v>
      </c>
      <c r="H226" s="264"/>
      <c r="I226" s="264"/>
      <c r="J226" s="264"/>
      <c r="K226" s="36" t="s">
        <v>382</v>
      </c>
      <c r="L226" s="121">
        <f>L216*L224*L222</f>
        <v>0.53666666666666663</v>
      </c>
      <c r="M226" s="37" t="s">
        <v>315</v>
      </c>
    </row>
    <row r="227" spans="7:20">
      <c r="G227" s="263" t="s">
        <v>383</v>
      </c>
      <c r="H227" s="264"/>
      <c r="I227" s="264"/>
      <c r="J227" s="264"/>
      <c r="K227" s="36" t="s">
        <v>384</v>
      </c>
      <c r="L227" s="121">
        <f>L225*(L217/L218)</f>
        <v>0.13142857142857142</v>
      </c>
      <c r="M227" s="37"/>
    </row>
    <row r="228" spans="7:20">
      <c r="G228" s="363" t="s">
        <v>385</v>
      </c>
      <c r="H228" s="364"/>
      <c r="I228" s="364"/>
      <c r="J228" s="364"/>
      <c r="K228" s="361" t="str">
        <f>IF(AND(L227&gt;=0.007, L222&gt;=0.6),"SI","NO")</f>
        <v>NO</v>
      </c>
      <c r="L228" s="362"/>
      <c r="M228" s="37" t="s">
        <v>315</v>
      </c>
    </row>
    <row r="229" spans="7:20" ht="15.75" thickBot="1">
      <c r="G229" s="263" t="s">
        <v>386</v>
      </c>
      <c r="H229" s="264"/>
      <c r="I229" s="264"/>
      <c r="J229" s="264"/>
      <c r="K229" s="264"/>
      <c r="L229" s="264"/>
      <c r="M229" s="376"/>
    </row>
    <row r="230" spans="7:20">
      <c r="G230" s="263" t="s">
        <v>383</v>
      </c>
      <c r="H230" s="264"/>
      <c r="I230" s="264"/>
      <c r="J230" s="264"/>
      <c r="K230" s="36" t="s">
        <v>384</v>
      </c>
      <c r="L230" s="121">
        <f>0.5*L222*(L217/L218)</f>
        <v>4.1071428571428571E-2</v>
      </c>
      <c r="M230" s="37" t="s">
        <v>326</v>
      </c>
      <c r="O230" s="368" t="s">
        <v>425</v>
      </c>
      <c r="P230" s="369"/>
      <c r="Q230" s="369"/>
      <c r="R230" s="369"/>
      <c r="S230" s="369"/>
      <c r="T230" s="370"/>
    </row>
    <row r="231" spans="7:20">
      <c r="G231" s="263" t="s">
        <v>324</v>
      </c>
      <c r="H231" s="264"/>
      <c r="I231" s="264"/>
      <c r="J231" s="264"/>
      <c r="K231" s="36" t="s">
        <v>325</v>
      </c>
      <c r="L231" s="121">
        <f>D78</f>
        <v>4</v>
      </c>
      <c r="M231" s="37" t="s">
        <v>326</v>
      </c>
      <c r="O231" s="371" t="s">
        <v>361</v>
      </c>
      <c r="P231" s="372"/>
      <c r="Q231" s="372"/>
      <c r="R231" s="318" t="s">
        <v>114</v>
      </c>
      <c r="S231" s="318" t="s">
        <v>2</v>
      </c>
      <c r="T231" s="390" t="s">
        <v>115</v>
      </c>
    </row>
    <row r="232" spans="7:20">
      <c r="G232" s="366" t="s">
        <v>387</v>
      </c>
      <c r="H232" s="367"/>
      <c r="I232" s="367"/>
      <c r="J232" s="367"/>
      <c r="K232" s="36" t="s">
        <v>388</v>
      </c>
      <c r="L232" s="121">
        <f>((L224*L222)/(L223*L220))</f>
        <v>1.1666666666666667</v>
      </c>
      <c r="M232" s="37" t="s">
        <v>326</v>
      </c>
      <c r="O232" s="371"/>
      <c r="P232" s="372"/>
      <c r="Q232" s="372"/>
      <c r="R232" s="318"/>
      <c r="S232" s="318"/>
      <c r="T232" s="390"/>
    </row>
    <row r="233" spans="7:20">
      <c r="G233" s="263" t="s">
        <v>389</v>
      </c>
      <c r="H233" s="264"/>
      <c r="I233" s="264"/>
      <c r="J233" s="264"/>
      <c r="K233" s="36" t="s">
        <v>390</v>
      </c>
      <c r="L233" s="121">
        <f>1.8*L234*SQRT(D20)</f>
        <v>2.5484900232184073</v>
      </c>
      <c r="M233" s="37" t="s">
        <v>326</v>
      </c>
      <c r="O233" s="354" t="s">
        <v>426</v>
      </c>
      <c r="P233" s="355"/>
      <c r="Q233" s="355"/>
      <c r="R233" s="36" t="s">
        <v>427</v>
      </c>
      <c r="S233" s="122">
        <f>S101+((D66*9.8)*(PI()*(D20/2)^2))*0.1</f>
        <v>17677.587207887693</v>
      </c>
      <c r="T233" s="37" t="s">
        <v>251</v>
      </c>
    </row>
    <row r="234" spans="7:20">
      <c r="G234" s="263" t="s">
        <v>391</v>
      </c>
      <c r="H234" s="264"/>
      <c r="I234" s="264"/>
      <c r="J234" s="264"/>
      <c r="K234" s="36" t="s">
        <v>392</v>
      </c>
      <c r="L234" s="121">
        <f>0.578/(SQRT(TANH((3.68*D21)/D20)))</f>
        <v>0.57800927513506972</v>
      </c>
      <c r="M234" s="37"/>
      <c r="O234" s="354" t="s">
        <v>428</v>
      </c>
      <c r="P234" s="355"/>
      <c r="Q234" s="355"/>
      <c r="R234" s="36" t="s">
        <v>429</v>
      </c>
      <c r="S234" s="126">
        <v>0.4</v>
      </c>
      <c r="T234" s="37"/>
    </row>
    <row r="235" spans="7:20">
      <c r="G235" s="263" t="s">
        <v>393</v>
      </c>
      <c r="H235" s="264"/>
      <c r="I235" s="264"/>
      <c r="J235" s="264"/>
      <c r="K235" s="36" t="s">
        <v>394</v>
      </c>
      <c r="L235" s="120">
        <f>IF(L233&lt;=L231,L234*L226*(1/L233)*(L217/L219), L234*L226*(L231/L233^2)*(L217/L219))</f>
        <v>6.0859235893224027E-2</v>
      </c>
      <c r="M235" s="37" t="s">
        <v>315</v>
      </c>
      <c r="O235" s="354" t="s">
        <v>430</v>
      </c>
      <c r="P235" s="355"/>
      <c r="Q235" s="355"/>
      <c r="R235" s="36" t="s">
        <v>431</v>
      </c>
      <c r="S235" s="122">
        <f>IF(AND(L227&gt;=0.007,L222&gt;=0.6),L230*(O61+S233+P83+L236),L227*(O61+S233+P83+L236))</f>
        <v>294263.91785019194</v>
      </c>
      <c r="T235" s="37" t="s">
        <v>251</v>
      </c>
    </row>
    <row r="236" spans="7:20">
      <c r="G236" s="263" t="s">
        <v>395</v>
      </c>
      <c r="H236" s="264"/>
      <c r="I236" s="264"/>
      <c r="J236" s="264"/>
      <c r="K236" s="36" t="s">
        <v>396</v>
      </c>
      <c r="L236" s="47">
        <f>(IF(D20/D21&gt;=1.33,((TANH((0.866*D20)/D21))/(0.866*(D20/D21)))*Q31, (1-0.218*(D20/D21))*Q31))</f>
        <v>2127138.7705785916</v>
      </c>
      <c r="M236" s="37" t="s">
        <v>251</v>
      </c>
      <c r="O236" s="354" t="s">
        <v>432</v>
      </c>
      <c r="P236" s="355"/>
      <c r="Q236" s="355"/>
      <c r="R236" s="36" t="s">
        <v>433</v>
      </c>
      <c r="S236" s="122">
        <f>L235*L237</f>
        <v>23224.574555150091</v>
      </c>
      <c r="T236" s="37" t="s">
        <v>251</v>
      </c>
    </row>
    <row r="237" spans="7:20">
      <c r="G237" s="263" t="s">
        <v>397</v>
      </c>
      <c r="H237" s="264"/>
      <c r="I237" s="264"/>
      <c r="J237" s="264"/>
      <c r="K237" s="36" t="s">
        <v>398</v>
      </c>
      <c r="L237" s="31">
        <f>0.23*(D20/D21)*TANH((3.67*D21)/D20)*Q31</f>
        <v>381611.33991062612</v>
      </c>
      <c r="M237" s="37" t="s">
        <v>251</v>
      </c>
      <c r="O237" s="354" t="s">
        <v>434</v>
      </c>
      <c r="P237" s="355"/>
      <c r="Q237" s="355"/>
      <c r="R237" s="36" t="s">
        <v>177</v>
      </c>
      <c r="S237" s="122">
        <f>SQRT(S235^2+S236^2)</f>
        <v>295178.98673823691</v>
      </c>
      <c r="T237" s="37" t="s">
        <v>251</v>
      </c>
    </row>
    <row r="238" spans="7:20">
      <c r="G238" s="263" t="s">
        <v>399</v>
      </c>
      <c r="H238" s="264"/>
      <c r="I238" s="264"/>
      <c r="J238" s="264"/>
      <c r="K238" s="36" t="s">
        <v>400</v>
      </c>
      <c r="L238" s="31">
        <f>IF(D20/D21&gt;=1.33,0.375*D21, (0.5-0.094*(D20/D21))*D21)</f>
        <v>3.9359999999999999</v>
      </c>
      <c r="M238" s="37" t="s">
        <v>10</v>
      </c>
      <c r="O238" s="354" t="s">
        <v>435</v>
      </c>
      <c r="P238" s="355"/>
      <c r="Q238" s="355"/>
      <c r="R238" s="36" t="s">
        <v>436</v>
      </c>
      <c r="S238" s="122">
        <f>0.4*(O61+P83+S233+Q31)*(1-0.4*D73)</f>
        <v>832216.87597228936</v>
      </c>
      <c r="T238" s="37" t="s">
        <v>251</v>
      </c>
    </row>
    <row r="239" spans="7:20" ht="15.75" thickBot="1">
      <c r="G239" s="263" t="s">
        <v>401</v>
      </c>
      <c r="H239" s="264"/>
      <c r="I239" s="264"/>
      <c r="J239" s="264"/>
      <c r="K239" s="36" t="s">
        <v>402</v>
      </c>
      <c r="L239" s="121">
        <f>((1-((COSH(((3.67*D21)/D20))-1)/(((3.67*D21)/D20)*SINH((3.67*D21)/D20)))))*D21</f>
        <v>7.3783648611410584</v>
      </c>
      <c r="M239" s="37" t="s">
        <v>10</v>
      </c>
      <c r="O239" s="358" t="str">
        <f>IF(S238&gt;=S237,"No necesitamos anclajes","NO, SE REQUIEREN ANCLAJES")</f>
        <v>No necesitamos anclajes</v>
      </c>
      <c r="P239" s="359"/>
      <c r="Q239" s="359"/>
      <c r="R239" s="359"/>
      <c r="S239" s="359"/>
      <c r="T239" s="360"/>
    </row>
    <row r="240" spans="7:20" ht="15.75" thickBot="1">
      <c r="G240" s="363" t="s">
        <v>403</v>
      </c>
      <c r="H240" s="364"/>
      <c r="I240" s="364"/>
      <c r="J240" s="364"/>
      <c r="K240" s="77" t="s">
        <v>404</v>
      </c>
      <c r="L240" s="127">
        <f>IF(AND(L227&gt;=0.007,L222&gt;=0.6),SQRT(((L230*(L236*L238+O61*D105+S101*D106))^2)+((L235*(L237*L239))^2)),SQRT(((L227*(L236*L238+O61*D105+S101*D106))^2)+((L235*(L237*L239))^2)))</f>
        <v>1155820.2226215457</v>
      </c>
      <c r="M240" s="79" t="s">
        <v>405</v>
      </c>
      <c r="O240" s="34"/>
      <c r="R240" s="34"/>
      <c r="S240" s="34"/>
      <c r="T240" s="123"/>
    </row>
    <row r="241" spans="7:20">
      <c r="G241" s="263" t="s">
        <v>406</v>
      </c>
      <c r="H241" s="264"/>
      <c r="I241" s="264"/>
      <c r="J241" s="264"/>
      <c r="K241" s="36" t="s">
        <v>407</v>
      </c>
      <c r="L241" s="47">
        <f>(S101+O61)/(2*PI()*(D20/2))</f>
        <v>5095.998188640935</v>
      </c>
      <c r="M241" s="37" t="s">
        <v>408</v>
      </c>
      <c r="O241" s="368" t="s">
        <v>437</v>
      </c>
      <c r="P241" s="369"/>
      <c r="Q241" s="369"/>
      <c r="R241" s="369"/>
      <c r="S241" s="369"/>
      <c r="T241" s="370"/>
    </row>
    <row r="242" spans="7:20">
      <c r="G242" s="263" t="s">
        <v>409</v>
      </c>
      <c r="H242" s="264"/>
      <c r="I242" s="264"/>
      <c r="J242" s="264"/>
      <c r="K242" s="36" t="s">
        <v>410</v>
      </c>
      <c r="L242" s="47">
        <f>((D69*D20^2*785)-S102+O60)/(2*PI()*(D20/2))</f>
        <v>5600.3768280978575</v>
      </c>
      <c r="M242" s="37" t="s">
        <v>408</v>
      </c>
      <c r="O242" s="371" t="s">
        <v>361</v>
      </c>
      <c r="P242" s="372"/>
      <c r="Q242" s="372"/>
      <c r="R242" s="318" t="s">
        <v>114</v>
      </c>
      <c r="S242" s="318" t="s">
        <v>2</v>
      </c>
      <c r="T242" s="390" t="s">
        <v>115</v>
      </c>
    </row>
    <row r="243" spans="7:20">
      <c r="G243" s="263" t="s">
        <v>411</v>
      </c>
      <c r="H243" s="264"/>
      <c r="I243" s="264"/>
      <c r="J243" s="264"/>
      <c r="K243" s="36" t="s">
        <v>412</v>
      </c>
      <c r="L243" s="47">
        <f>IF(99*K88*SQRT(D38*D21*L215)&lt;=(201.1*D21*D20*L215),(99*K88*SQRT(D38*D21*L215)),(201.1*D21*D20*L215))</f>
        <v>8687.52</v>
      </c>
      <c r="M243" s="37" t="s">
        <v>408</v>
      </c>
      <c r="O243" s="371"/>
      <c r="P243" s="372"/>
      <c r="Q243" s="372"/>
      <c r="R243" s="318"/>
      <c r="S243" s="318"/>
      <c r="T243" s="390"/>
    </row>
    <row r="244" spans="7:20">
      <c r="G244" s="263" t="s">
        <v>413</v>
      </c>
      <c r="H244" s="264"/>
      <c r="I244" s="264"/>
      <c r="J244" s="264"/>
      <c r="K244" s="36"/>
      <c r="L244" s="31">
        <f>201.1*D21*D20*L215</f>
        <v>8687.52</v>
      </c>
      <c r="M244" s="37" t="s">
        <v>408</v>
      </c>
      <c r="O244" s="363" t="s">
        <v>438</v>
      </c>
      <c r="P244" s="364"/>
      <c r="Q244" s="364"/>
      <c r="R244" s="364"/>
      <c r="S244" s="364"/>
      <c r="T244" s="365"/>
    </row>
    <row r="245" spans="7:20" ht="15" customHeight="1">
      <c r="G245" s="363" t="s">
        <v>414</v>
      </c>
      <c r="H245" s="364"/>
      <c r="I245" s="364"/>
      <c r="J245" s="364"/>
      <c r="K245" s="77" t="s">
        <v>415</v>
      </c>
      <c r="L245" s="96">
        <f>L240/((D20^2)*((L241*(1-0.4*D73))+L243-(D67*L242)))</f>
        <v>3.0507036608656688</v>
      </c>
      <c r="M245" s="79"/>
      <c r="O245" s="373" t="str" cm="1">
        <f t="array" ref="O245">INDEX(Auxiliar!L39:N40,Auxiliar!L36,Auxiliar!M36)</f>
        <v>0,7δs (recomendado pero no requerido)</v>
      </c>
      <c r="P245" s="374"/>
      <c r="Q245" s="374"/>
      <c r="R245" s="374"/>
      <c r="S245" s="374"/>
      <c r="T245" s="375"/>
    </row>
    <row r="246" spans="7:20">
      <c r="G246" s="363" t="str">
        <f>IF(L245&lt;0.785,"No necesitamos anclajes",(IF(L245&lt;1.54,"Tanque estable pero se levanta, revisar tensiones","Tanque inestable, anclar mecánicamente")))</f>
        <v>Tanque inestable, anclar mecánicamente</v>
      </c>
      <c r="H246" s="364"/>
      <c r="I246" s="364"/>
      <c r="J246" s="364"/>
      <c r="K246" s="364"/>
      <c r="L246" s="364"/>
      <c r="M246" s="365"/>
      <c r="O246" s="373"/>
      <c r="P246" s="374"/>
      <c r="Q246" s="374"/>
      <c r="R246" s="374"/>
      <c r="S246" s="374"/>
      <c r="T246" s="375"/>
    </row>
    <row r="247" spans="7:20">
      <c r="G247" s="263" t="s">
        <v>416</v>
      </c>
      <c r="H247" s="264"/>
      <c r="I247" s="264"/>
      <c r="J247" s="264"/>
      <c r="K247" s="36"/>
      <c r="L247" s="31" t="str">
        <f>IF(K88&lt;(D20*1000*0.035),"SI","NO")</f>
        <v>SI</v>
      </c>
      <c r="M247" s="75"/>
      <c r="O247" s="354" t="s">
        <v>439</v>
      </c>
      <c r="P247" s="355"/>
      <c r="Q247" s="355"/>
      <c r="R247" s="36" t="s">
        <v>440</v>
      </c>
      <c r="S247" s="120" cm="1">
        <f t="array" ref="S247">IF(D75=("I"),(IF(L233&lt;=4,L234*L226*L217*(1/L233),L234*L226*L217*(4/L233^2))),(IF(D75=("II"),(IF(L233&lt;=4,L234*L226*L217*(1/L233),L234*L226*L217*(4/L233^2))),(IF(L233&lt;=L231,L234*L226*L217*(1/L233), L234*L226*L217(4/L233^2))))))</f>
        <v>0.12171847178644805</v>
      </c>
      <c r="T247" s="37"/>
    </row>
    <row r="248" spans="7:20">
      <c r="G248" s="263" t="s">
        <v>417</v>
      </c>
      <c r="H248" s="264"/>
      <c r="I248" s="264"/>
      <c r="J248" s="264"/>
      <c r="K248" s="36"/>
      <c r="L248" s="31" t="str">
        <f>IF(K88&lt;=I61,"SI","NO")</f>
        <v>NO</v>
      </c>
      <c r="M248" s="75"/>
      <c r="O248" s="354" t="s">
        <v>441</v>
      </c>
      <c r="P248" s="355"/>
      <c r="Q248" s="355"/>
      <c r="R248" s="36" t="s">
        <v>442</v>
      </c>
      <c r="S248" s="121">
        <f>0.42*D20*S247</f>
        <v>0.30673054890184909</v>
      </c>
      <c r="T248" s="37" t="s">
        <v>10</v>
      </c>
    </row>
    <row r="249" spans="7:20" ht="15.75" thickBot="1">
      <c r="G249" s="358" t="str">
        <f>IF(AND(L245&lt;=1.54,L247="SI",L248="SI"),"Cumple requisitos de tanque autoanclado", "No puede considerarse autoanclado, anclar mecánicamente")</f>
        <v>No puede considerarse autoanclado, anclar mecánicamente</v>
      </c>
      <c r="H249" s="359"/>
      <c r="I249" s="359"/>
      <c r="J249" s="359"/>
      <c r="K249" s="359"/>
      <c r="L249" s="359"/>
      <c r="M249" s="360"/>
      <c r="O249" s="356" t="s">
        <v>443</v>
      </c>
      <c r="P249" s="357"/>
      <c r="Q249" s="357"/>
      <c r="R249" s="38" t="s">
        <v>444</v>
      </c>
      <c r="S249" s="74">
        <f>S248*0.7</f>
        <v>0.21471138423129435</v>
      </c>
      <c r="T249" s="39" t="s">
        <v>10</v>
      </c>
    </row>
  </sheetData>
  <mergeCells count="387">
    <mergeCell ref="D1:W4"/>
    <mergeCell ref="R242:R243"/>
    <mergeCell ref="S242:S243"/>
    <mergeCell ref="T242:T243"/>
    <mergeCell ref="O237:Q237"/>
    <mergeCell ref="O238:Q238"/>
    <mergeCell ref="O239:T239"/>
    <mergeCell ref="O241:T241"/>
    <mergeCell ref="O242:Q243"/>
    <mergeCell ref="P201:Q201"/>
    <mergeCell ref="P202:Q202"/>
    <mergeCell ref="P203:Q203"/>
    <mergeCell ref="P204:Q204"/>
    <mergeCell ref="P205:Q205"/>
    <mergeCell ref="R231:R232"/>
    <mergeCell ref="S231:S232"/>
    <mergeCell ref="T231:T232"/>
    <mergeCell ref="P190:Q190"/>
    <mergeCell ref="P191:Q191"/>
    <mergeCell ref="P192:Q192"/>
    <mergeCell ref="P193:Q193"/>
    <mergeCell ref="P194:Q194"/>
    <mergeCell ref="P195:Q195"/>
    <mergeCell ref="P196:Q196"/>
    <mergeCell ref="S134:S135"/>
    <mergeCell ref="T134:T135"/>
    <mergeCell ref="R147:T147"/>
    <mergeCell ref="K213:K214"/>
    <mergeCell ref="L213:L214"/>
    <mergeCell ref="M213:M214"/>
    <mergeCell ref="R160:T160"/>
    <mergeCell ref="O149:T149"/>
    <mergeCell ref="O134:Q135"/>
    <mergeCell ref="R134:R135"/>
    <mergeCell ref="R213:R214"/>
    <mergeCell ref="S213:S214"/>
    <mergeCell ref="T213:T214"/>
    <mergeCell ref="O160:Q160"/>
    <mergeCell ref="G212:M212"/>
    <mergeCell ref="G213:J214"/>
    <mergeCell ref="F166:G167"/>
    <mergeCell ref="R166:R167"/>
    <mergeCell ref="P180:Q180"/>
    <mergeCell ref="P181:Q181"/>
    <mergeCell ref="O145:Q145"/>
    <mergeCell ref="O146:Q146"/>
    <mergeCell ref="O147:Q147"/>
    <mergeCell ref="O148:Q148"/>
    <mergeCell ref="G133:M133"/>
    <mergeCell ref="O133:T133"/>
    <mergeCell ref="B98:B99"/>
    <mergeCell ref="C98:C99"/>
    <mergeCell ref="D98:D99"/>
    <mergeCell ref="E98:E99"/>
    <mergeCell ref="G101:M101"/>
    <mergeCell ref="G111:M111"/>
    <mergeCell ref="G102:J102"/>
    <mergeCell ref="G103:J103"/>
    <mergeCell ref="O97:Q98"/>
    <mergeCell ref="G120:J120"/>
    <mergeCell ref="G121:J121"/>
    <mergeCell ref="G122:J122"/>
    <mergeCell ref="O99:Q99"/>
    <mergeCell ref="O100:Q100"/>
    <mergeCell ref="O101:Q101"/>
    <mergeCell ref="O102:Q102"/>
    <mergeCell ref="O103:Q103"/>
    <mergeCell ref="B97:E97"/>
    <mergeCell ref="K97:K98"/>
    <mergeCell ref="O104:T104"/>
    <mergeCell ref="O105:Q105"/>
    <mergeCell ref="O106:Q106"/>
    <mergeCell ref="B8:E8"/>
    <mergeCell ref="G9:H10"/>
    <mergeCell ref="I9:J10"/>
    <mergeCell ref="M9:M10"/>
    <mergeCell ref="K9:L10"/>
    <mergeCell ref="E9:E10"/>
    <mergeCell ref="O8:T8"/>
    <mergeCell ref="G29:M29"/>
    <mergeCell ref="G11:H13"/>
    <mergeCell ref="K13:L13"/>
    <mergeCell ref="K11:L11"/>
    <mergeCell ref="K12:L12"/>
    <mergeCell ref="I11:J11"/>
    <mergeCell ref="I12:J12"/>
    <mergeCell ref="I13:J13"/>
    <mergeCell ref="G14:H14"/>
    <mergeCell ref="I14:M14"/>
    <mergeCell ref="G15:M15"/>
    <mergeCell ref="G8:M8"/>
    <mergeCell ref="O28:T28"/>
    <mergeCell ref="Q29:R29"/>
    <mergeCell ref="G99:J99"/>
    <mergeCell ref="K83:K84"/>
    <mergeCell ref="L83:L84"/>
    <mergeCell ref="G82:L82"/>
    <mergeCell ref="G83:I84"/>
    <mergeCell ref="G85:I85"/>
    <mergeCell ref="G86:I86"/>
    <mergeCell ref="G87:I87"/>
    <mergeCell ref="G88:I88"/>
    <mergeCell ref="G89:I89"/>
    <mergeCell ref="G45:J45"/>
    <mergeCell ref="L45:N45"/>
    <mergeCell ref="O96:T96"/>
    <mergeCell ref="L97:L98"/>
    <mergeCell ref="M97:M98"/>
    <mergeCell ref="R97:R98"/>
    <mergeCell ref="S97:S98"/>
    <mergeCell ref="T97:T98"/>
    <mergeCell ref="G97:J98"/>
    <mergeCell ref="G96:M96"/>
    <mergeCell ref="O107:Q107"/>
    <mergeCell ref="O108:Q108"/>
    <mergeCell ref="O109:Q109"/>
    <mergeCell ref="O110:Q110"/>
    <mergeCell ref="O111:Q111"/>
    <mergeCell ref="G115:J115"/>
    <mergeCell ref="G104:J104"/>
    <mergeCell ref="G105:J105"/>
    <mergeCell ref="G106:J106"/>
    <mergeCell ref="G107:J107"/>
    <mergeCell ref="G108:J108"/>
    <mergeCell ref="G116:J116"/>
    <mergeCell ref="G117:J117"/>
    <mergeCell ref="G118:J118"/>
    <mergeCell ref="G119:J119"/>
    <mergeCell ref="G109:J109"/>
    <mergeCell ref="G110:J110"/>
    <mergeCell ref="G112:J112"/>
    <mergeCell ref="O117:Q117"/>
    <mergeCell ref="O118:Q118"/>
    <mergeCell ref="O119:Q119"/>
    <mergeCell ref="G113:J113"/>
    <mergeCell ref="G114:J114"/>
    <mergeCell ref="O120:Q120"/>
    <mergeCell ref="O121:Q121"/>
    <mergeCell ref="O112:Q112"/>
    <mergeCell ref="O113:Q113"/>
    <mergeCell ref="O114:Q114"/>
    <mergeCell ref="O115:Q115"/>
    <mergeCell ref="O116:Q116"/>
    <mergeCell ref="G151:J151"/>
    <mergeCell ref="G152:J152"/>
    <mergeCell ref="O127:Q127"/>
    <mergeCell ref="L134:L135"/>
    <mergeCell ref="M134:M135"/>
    <mergeCell ref="O122:Q122"/>
    <mergeCell ref="O123:Q123"/>
    <mergeCell ref="O124:Q124"/>
    <mergeCell ref="O125:Q125"/>
    <mergeCell ref="O126:Q126"/>
    <mergeCell ref="K134:K135"/>
    <mergeCell ref="G134:J135"/>
    <mergeCell ref="G138:J138"/>
    <mergeCell ref="G139:J139"/>
    <mergeCell ref="G140:J140"/>
    <mergeCell ref="G142:J142"/>
    <mergeCell ref="G148:J148"/>
    <mergeCell ref="G144:J144"/>
    <mergeCell ref="G145:J145"/>
    <mergeCell ref="G146:J146"/>
    <mergeCell ref="G147:J147"/>
    <mergeCell ref="G157:J157"/>
    <mergeCell ref="G153:J153"/>
    <mergeCell ref="G154:J154"/>
    <mergeCell ref="O136:Q136"/>
    <mergeCell ref="O137:Q137"/>
    <mergeCell ref="O138:Q138"/>
    <mergeCell ref="O139:Q139"/>
    <mergeCell ref="O140:Q140"/>
    <mergeCell ref="O141:Q141"/>
    <mergeCell ref="O142:Q142"/>
    <mergeCell ref="O143:Q143"/>
    <mergeCell ref="O144:Q144"/>
    <mergeCell ref="G217:J217"/>
    <mergeCell ref="G218:J218"/>
    <mergeCell ref="G219:J219"/>
    <mergeCell ref="G220:J220"/>
    <mergeCell ref="G221:J221"/>
    <mergeCell ref="G215:J215"/>
    <mergeCell ref="G216:J216"/>
    <mergeCell ref="I169:N169"/>
    <mergeCell ref="I183:K183"/>
    <mergeCell ref="I184:K184"/>
    <mergeCell ref="I185:K185"/>
    <mergeCell ref="L185:N185"/>
    <mergeCell ref="F178:G178"/>
    <mergeCell ref="F179:G179"/>
    <mergeCell ref="F180:G180"/>
    <mergeCell ref="I190:K190"/>
    <mergeCell ref="D172:G172"/>
    <mergeCell ref="B209:W209"/>
    <mergeCell ref="P197:Q197"/>
    <mergeCell ref="P198:Q198"/>
    <mergeCell ref="P199:Q199"/>
    <mergeCell ref="P200:Q200"/>
    <mergeCell ref="O212:T212"/>
    <mergeCell ref="O213:Q214"/>
    <mergeCell ref="G236:J236"/>
    <mergeCell ref="G227:J227"/>
    <mergeCell ref="G228:J228"/>
    <mergeCell ref="G229:M229"/>
    <mergeCell ref="G230:J230"/>
    <mergeCell ref="G231:J231"/>
    <mergeCell ref="G222:J222"/>
    <mergeCell ref="G223:J223"/>
    <mergeCell ref="G224:J224"/>
    <mergeCell ref="G225:J225"/>
    <mergeCell ref="G226:J226"/>
    <mergeCell ref="O215:Q215"/>
    <mergeCell ref="O216:Q216"/>
    <mergeCell ref="O217:Q217"/>
    <mergeCell ref="O218:T218"/>
    <mergeCell ref="O230:T230"/>
    <mergeCell ref="O231:Q232"/>
    <mergeCell ref="O233:Q233"/>
    <mergeCell ref="O244:T244"/>
    <mergeCell ref="O245:T246"/>
    <mergeCell ref="O247:Q247"/>
    <mergeCell ref="O248:Q248"/>
    <mergeCell ref="O249:Q249"/>
    <mergeCell ref="G247:J247"/>
    <mergeCell ref="G248:J248"/>
    <mergeCell ref="G249:M249"/>
    <mergeCell ref="K228:L228"/>
    <mergeCell ref="O234:Q234"/>
    <mergeCell ref="O235:Q235"/>
    <mergeCell ref="O236:Q236"/>
    <mergeCell ref="G242:J242"/>
    <mergeCell ref="G243:J243"/>
    <mergeCell ref="G244:J244"/>
    <mergeCell ref="G245:J245"/>
    <mergeCell ref="G246:M246"/>
    <mergeCell ref="G237:J237"/>
    <mergeCell ref="G238:J238"/>
    <mergeCell ref="G239:J239"/>
    <mergeCell ref="G240:J240"/>
    <mergeCell ref="G241:J241"/>
    <mergeCell ref="G232:J232"/>
    <mergeCell ref="G233:J233"/>
    <mergeCell ref="G234:J234"/>
    <mergeCell ref="G235:J235"/>
    <mergeCell ref="B182:C182"/>
    <mergeCell ref="E175:G175"/>
    <mergeCell ref="F174:G174"/>
    <mergeCell ref="F176:G176"/>
    <mergeCell ref="B173:C173"/>
    <mergeCell ref="B174:C174"/>
    <mergeCell ref="B176:C176"/>
    <mergeCell ref="I199:K199"/>
    <mergeCell ref="L199:N199"/>
    <mergeCell ref="I196:K196"/>
    <mergeCell ref="I197:K197"/>
    <mergeCell ref="L197:N197"/>
    <mergeCell ref="I198:K198"/>
    <mergeCell ref="B180:C180"/>
    <mergeCell ref="B181:C181"/>
    <mergeCell ref="F181:G181"/>
    <mergeCell ref="F182:G182"/>
    <mergeCell ref="F184:G184"/>
    <mergeCell ref="D177:G177"/>
    <mergeCell ref="D183:G183"/>
    <mergeCell ref="B184:C184"/>
    <mergeCell ref="B183:C183"/>
    <mergeCell ref="B179:C179"/>
    <mergeCell ref="B178:C178"/>
    <mergeCell ref="P188:Q188"/>
    <mergeCell ref="P189:Q189"/>
    <mergeCell ref="I195:K195"/>
    <mergeCell ref="I191:K191"/>
    <mergeCell ref="L191:N191"/>
    <mergeCell ref="I192:K192"/>
    <mergeCell ref="I193:K193"/>
    <mergeCell ref="I194:K194"/>
    <mergeCell ref="I186:K186"/>
    <mergeCell ref="I187:K187"/>
    <mergeCell ref="P206:Q206"/>
    <mergeCell ref="P207:Q207"/>
    <mergeCell ref="I189:K189"/>
    <mergeCell ref="L189:N189"/>
    <mergeCell ref="P165:W165"/>
    <mergeCell ref="P166:Q167"/>
    <mergeCell ref="P168:Q168"/>
    <mergeCell ref="P169:Q169"/>
    <mergeCell ref="P170:Q170"/>
    <mergeCell ref="P171:Q171"/>
    <mergeCell ref="P172:Q172"/>
    <mergeCell ref="P173:Q173"/>
    <mergeCell ref="P174:Q174"/>
    <mergeCell ref="P175:Q175"/>
    <mergeCell ref="P176:Q176"/>
    <mergeCell ref="P177:Q177"/>
    <mergeCell ref="P178:Q178"/>
    <mergeCell ref="P179:Q179"/>
    <mergeCell ref="P182:Q182"/>
    <mergeCell ref="P183:Q183"/>
    <mergeCell ref="P184:Q184"/>
    <mergeCell ref="P185:Q185"/>
    <mergeCell ref="P186:Q186"/>
    <mergeCell ref="P187:Q187"/>
    <mergeCell ref="A1:C4"/>
    <mergeCell ref="S166:W166"/>
    <mergeCell ref="G136:J136"/>
    <mergeCell ref="G137:J137"/>
    <mergeCell ref="K142:M142"/>
    <mergeCell ref="K159:M159"/>
    <mergeCell ref="K160:M160"/>
    <mergeCell ref="G141:J141"/>
    <mergeCell ref="G143:M143"/>
    <mergeCell ref="G159:J159"/>
    <mergeCell ref="G160:J160"/>
    <mergeCell ref="B82:E82"/>
    <mergeCell ref="B83:B84"/>
    <mergeCell ref="C83:C84"/>
    <mergeCell ref="D83:D84"/>
    <mergeCell ref="E83:E84"/>
    <mergeCell ref="O25:T27"/>
    <mergeCell ref="B165:G165"/>
    <mergeCell ref="D166:D167"/>
    <mergeCell ref="E166:E167"/>
    <mergeCell ref="I165:N165"/>
    <mergeCell ref="L167:N167"/>
    <mergeCell ref="B166:C167"/>
    <mergeCell ref="J83:J84"/>
    <mergeCell ref="B177:C177"/>
    <mergeCell ref="B175:D175"/>
    <mergeCell ref="B172:C172"/>
    <mergeCell ref="B171:C171"/>
    <mergeCell ref="B170:C170"/>
    <mergeCell ref="B169:C169"/>
    <mergeCell ref="B168:C168"/>
    <mergeCell ref="B6:W6"/>
    <mergeCell ref="G90:I90"/>
    <mergeCell ref="G91:I91"/>
    <mergeCell ref="G92:I92"/>
    <mergeCell ref="C88:E88"/>
    <mergeCell ref="B80:W80"/>
    <mergeCell ref="F168:G168"/>
    <mergeCell ref="F169:G169"/>
    <mergeCell ref="F170:G170"/>
    <mergeCell ref="F171:G171"/>
    <mergeCell ref="F173:G173"/>
    <mergeCell ref="G155:J155"/>
    <mergeCell ref="G156:J156"/>
    <mergeCell ref="O155:Q155"/>
    <mergeCell ref="O156:Q156"/>
    <mergeCell ref="O157:Q157"/>
    <mergeCell ref="O158:Q158"/>
    <mergeCell ref="B163:W163"/>
    <mergeCell ref="B130:W130"/>
    <mergeCell ref="B94:W94"/>
    <mergeCell ref="B9:B10"/>
    <mergeCell ref="C9:C10"/>
    <mergeCell ref="D9:D10"/>
    <mergeCell ref="B34:B35"/>
    <mergeCell ref="C34:C35"/>
    <mergeCell ref="D34:D35"/>
    <mergeCell ref="E34:E35"/>
    <mergeCell ref="B18:B19"/>
    <mergeCell ref="C18:C19"/>
    <mergeCell ref="D18:D19"/>
    <mergeCell ref="E18:E19"/>
    <mergeCell ref="O159:Q159"/>
    <mergeCell ref="O150:Q150"/>
    <mergeCell ref="O151:Q151"/>
    <mergeCell ref="O152:Q152"/>
    <mergeCell ref="O153:Q153"/>
    <mergeCell ref="O154:Q154"/>
    <mergeCell ref="G149:J149"/>
    <mergeCell ref="G150:J150"/>
    <mergeCell ref="G158:J158"/>
    <mergeCell ref="K158:M158"/>
    <mergeCell ref="B71:B72"/>
    <mergeCell ref="C71:C72"/>
    <mergeCell ref="D71:D72"/>
    <mergeCell ref="E71:E72"/>
    <mergeCell ref="C32:E32"/>
    <mergeCell ref="C37:E37"/>
    <mergeCell ref="C52:E52"/>
    <mergeCell ref="C47:E47"/>
    <mergeCell ref="C42:E42"/>
    <mergeCell ref="B58:B59"/>
    <mergeCell ref="C58:C59"/>
    <mergeCell ref="D58:D59"/>
    <mergeCell ref="E58:E59"/>
  </mergeCells>
  <phoneticPr fontId="8" type="noConversion"/>
  <conditionalFormatting sqref="D20">
    <cfRule type="iconSet" priority="2">
      <iconSet iconSet="3Symbols">
        <cfvo type="percent" val="0"/>
        <cfvo type="num" val="$D$15"/>
        <cfvo type="num" val="$D$15" gte="0"/>
      </iconSet>
    </cfRule>
  </conditionalFormatting>
  <conditionalFormatting sqref="D21">
    <cfRule type="iconSet" priority="1">
      <iconSet iconSet="3Symbols">
        <cfvo type="percent" val="0"/>
        <cfvo type="num" val="$D$16"/>
        <cfvo type="num" val="$D$16" gte="0"/>
      </iconSet>
    </cfRule>
  </conditionalFormatting>
  <conditionalFormatting sqref="D22">
    <cfRule type="iconSet" priority="3">
      <iconSet iconSet="3Symbols">
        <cfvo type="percent" val="0"/>
        <cfvo type="num" val="$D$13"/>
        <cfvo type="num" val="$D$13" gte="0"/>
      </iconSet>
    </cfRule>
  </conditionalFormatting>
  <conditionalFormatting sqref="D172">
    <cfRule type="cellIs" dxfId="61" priority="27" operator="equal">
      <formula>"SI, COMPROBAR CONDICIÓN INFERIOR"</formula>
    </cfRule>
    <cfRule type="cellIs" dxfId="60" priority="28" operator="equal">
      <formula>"NO, CONDICIÓN INFERIOR NO OBLIGATORIA"</formula>
    </cfRule>
  </conditionalFormatting>
  <conditionalFormatting sqref="D177">
    <cfRule type="cellIs" dxfId="59" priority="25" operator="equal">
      <formula>"EL PERFIL CUMPLE"</formula>
    </cfRule>
    <cfRule type="cellIs" dxfId="58" priority="26" operator="equal">
      <formula>"NO CUMPLE. SELECCIONA UNO MAYOR"</formula>
    </cfRule>
  </conditionalFormatting>
  <conditionalFormatting sqref="D183">
    <cfRule type="cellIs" dxfId="57" priority="23" operator="equal">
      <formula>"SE NECESITAN SOPORTES ADICIONALES"</formula>
    </cfRule>
    <cfRule type="cellIs" dxfId="56" priority="24" operator="equal">
      <formula>"NO SE NECESITAN SOPORTES"</formula>
    </cfRule>
  </conditionalFormatting>
  <conditionalFormatting sqref="E176">
    <cfRule type="cellIs" dxfId="55" priority="4" operator="equal">
      <formula>"NO APLICA"</formula>
    </cfRule>
  </conditionalFormatting>
  <conditionalFormatting sqref="E184">
    <cfRule type="cellIs" dxfId="54" priority="22" operator="equal">
      <formula>"NO APLICA"</formula>
    </cfRule>
  </conditionalFormatting>
  <conditionalFormatting sqref="G246">
    <cfRule type="cellIs" dxfId="53" priority="37" operator="equal">
      <formula>"Tanque estable pero se levanta, revisar tensiones"</formula>
    </cfRule>
    <cfRule type="cellIs" dxfId="52" priority="38" operator="equal">
      <formula>"No necesitamos anclajes"</formula>
    </cfRule>
    <cfRule type="cellIs" dxfId="51" priority="36" operator="equal">
      <formula>"Tanque inestable, anclar mecánicamente"</formula>
    </cfRule>
  </conditionalFormatting>
  <conditionalFormatting sqref="G249">
    <cfRule type="cellIs" dxfId="50" priority="34" operator="equal">
      <formula>"No puede considerarse autoanclado, anclar mecánicamente"</formula>
    </cfRule>
    <cfRule type="cellIs" dxfId="49" priority="35" operator="equal">
      <formula>"Cumple requisitos de tanque autoanclado"</formula>
    </cfRule>
  </conditionalFormatting>
  <conditionalFormatting sqref="I14:M14">
    <cfRule type="cellIs" dxfId="48" priority="75" operator="equal">
      <formula>"DIVISIÓN CORRECTA"</formula>
    </cfRule>
    <cfRule type="cellIs" dxfId="47" priority="59" operator="equal">
      <formula>"REVISA LAS VIROLAS"</formula>
    </cfRule>
    <cfRule type="cellIs" dxfId="46" priority="76" operator="equal">
      <formula>"ERROR. REVISAR VIROLAS"</formula>
    </cfRule>
  </conditionalFormatting>
  <conditionalFormatting sqref="K142 K158:K160">
    <cfRule type="cellIs" dxfId="45" priority="50" operator="equal">
      <formula>"NO CUMPLE. ANCLAR MECÁNICAMENTE"</formula>
    </cfRule>
    <cfRule type="cellIs" dxfId="44" priority="49" operator="equal">
      <formula>"CUMPLE"</formula>
    </cfRule>
  </conditionalFormatting>
  <conditionalFormatting sqref="K13:L13">
    <cfRule type="cellIs" dxfId="43" priority="60" operator="equal">
      <formula>"NO CUMPLE TAMAÑO MÍNIMO"</formula>
    </cfRule>
  </conditionalFormatting>
  <conditionalFormatting sqref="L17:L28">
    <cfRule type="cellIs" dxfId="42" priority="74" operator="equal">
      <formula>"OK"</formula>
    </cfRule>
    <cfRule type="cellIs" dxfId="41" priority="72" operator="equal">
      <formula>"TOMAR MÍNIMO"</formula>
    </cfRule>
  </conditionalFormatting>
  <conditionalFormatting sqref="L31:L42">
    <cfRule type="cellIs" dxfId="40" priority="71" operator="equal">
      <formula>"OK"</formula>
    </cfRule>
    <cfRule type="cellIs" dxfId="39" priority="70" operator="equal">
      <formula>"TOMAR MÍNIMO"</formula>
    </cfRule>
  </conditionalFormatting>
  <conditionalFormatting sqref="L99">
    <cfRule type="cellIs" dxfId="38" priority="58" operator="equal">
      <formula>"CUMPLE"</formula>
    </cfRule>
    <cfRule type="cellIs" dxfId="37" priority="57" operator="equal">
      <formula>"NO CUMPLE"</formula>
    </cfRule>
  </conditionalFormatting>
  <conditionalFormatting sqref="L109">
    <cfRule type="cellIs" dxfId="36" priority="56" operator="equal">
      <formula>"CUMPLE"</formula>
    </cfRule>
    <cfRule type="cellIs" dxfId="35" priority="55" operator="equal">
      <formula>"TOMAR 5mm"</formula>
    </cfRule>
  </conditionalFormatting>
  <conditionalFormatting sqref="L119">
    <cfRule type="cellIs" dxfId="34" priority="54" operator="equal">
      <formula>"CUMPLE"</formula>
    </cfRule>
    <cfRule type="cellIs" dxfId="33" priority="53" operator="equal">
      <formula>"TOMAR 5mm"</formula>
    </cfRule>
  </conditionalFormatting>
  <conditionalFormatting sqref="L167 L185">
    <cfRule type="cellIs" dxfId="32" priority="21" operator="equal">
      <formula>"SE NECESITA VIGA INTERMEDIA"</formula>
    </cfRule>
    <cfRule type="cellIs" dxfId="31" priority="18" operator="equal">
      <formula>"NO SE NECESITA VIGA INTERMEDIA"</formula>
    </cfRule>
  </conditionalFormatting>
  <conditionalFormatting sqref="L191">
    <cfRule type="cellIs" dxfId="30" priority="7" operator="equal">
      <formula>"NO APLICA"</formula>
    </cfRule>
  </conditionalFormatting>
  <conditionalFormatting sqref="L197">
    <cfRule type="cellIs" dxfId="29" priority="6" operator="equal">
      <formula>"NO APLICA"</formula>
    </cfRule>
  </conditionalFormatting>
  <conditionalFormatting sqref="L199">
    <cfRule type="cellIs" dxfId="28" priority="5" operator="equal">
      <formula>"NO APLICA"</formula>
    </cfRule>
  </conditionalFormatting>
  <conditionalFormatting sqref="M186:M188">
    <cfRule type="cellIs" dxfId="27" priority="10" operator="equal">
      <formula>"NO APLICA"</formula>
    </cfRule>
  </conditionalFormatting>
  <conditionalFormatting sqref="M192:M196">
    <cfRule type="cellIs" dxfId="26" priority="8" operator="equal">
      <formula>"NO APLICA"</formula>
    </cfRule>
  </conditionalFormatting>
  <conditionalFormatting sqref="M198">
    <cfRule type="cellIs" dxfId="25" priority="13" operator="equal">
      <formula>"NO APLICA"</formula>
    </cfRule>
  </conditionalFormatting>
  <conditionalFormatting sqref="O149">
    <cfRule type="cellIs" dxfId="24" priority="40" operator="equal">
      <formula>"PUEDES CONSIDERAR UN ANCLAJE MENOR"</formula>
    </cfRule>
    <cfRule type="cellIs" dxfId="23" priority="41" operator="equal">
      <formula>"CONSIDERA UN ANCLAJE MAYOR"</formula>
    </cfRule>
    <cfRule type="cellIs" dxfId="22" priority="46" operator="equal">
      <formula>"ANCLAJE ACEPTABLE"</formula>
    </cfRule>
    <cfRule type="cellIs" dxfId="21" priority="39" operator="equal">
      <formula>"PUEDES INCLUSO CONSIDERAR UN ANCLAJE MENOR"</formula>
    </cfRule>
  </conditionalFormatting>
  <conditionalFormatting sqref="O218">
    <cfRule type="cellIs" dxfId="20" priority="32" operator="equal">
      <formula>"NO CUMPLE"</formula>
    </cfRule>
    <cfRule type="cellIs" dxfId="19" priority="33" operator="equal">
      <formula>"CUMPLE"</formula>
    </cfRule>
  </conditionalFormatting>
  <conditionalFormatting sqref="O239">
    <cfRule type="cellIs" dxfId="18" priority="31" operator="equal">
      <formula>"No necesitamos anclajes"</formula>
    </cfRule>
    <cfRule type="cellIs" dxfId="17" priority="30" operator="equal">
      <formula>"Tanque inestable, anclar mecánicamente"</formula>
    </cfRule>
  </conditionalFormatting>
  <conditionalFormatting sqref="P168:Q207">
    <cfRule type="cellIs" dxfId="16" priority="11" operator="equal">
      <formula>$E$175</formula>
    </cfRule>
    <cfRule type="cellIs" dxfId="15" priority="9" operator="equal">
      <formula>$L$189</formula>
    </cfRule>
  </conditionalFormatting>
  <conditionalFormatting sqref="R147">
    <cfRule type="cellIs" dxfId="14" priority="42" operator="equal">
      <formula>"NO CUMPLE. ELIGE UN PERNO DE MAYOR"</formula>
    </cfRule>
    <cfRule type="cellIs" dxfId="13" priority="43" operator="equal">
      <formula>"CUMPLE"</formula>
    </cfRule>
  </conditionalFormatting>
  <conditionalFormatting sqref="R160">
    <cfRule type="cellIs" dxfId="12" priority="44" operator="equal">
      <formula>"NO CUMPLE. AUMENTAR NÚMERO DE PERNOS"</formula>
    </cfRule>
    <cfRule type="cellIs" dxfId="11" priority="45" operator="equal">
      <formula>"CUMPLE"</formula>
    </cfRule>
  </conditionalFormatting>
  <conditionalFormatting sqref="R160:T160">
    <cfRule type="cellIs" dxfId="10" priority="29" operator="equal">
      <formula>"NO CUMPLE. AUMENTAR PERNOS"</formula>
    </cfRule>
  </conditionalFormatting>
  <conditionalFormatting sqref="S127">
    <cfRule type="cellIs" dxfId="9" priority="51" operator="equal">
      <formula>"NO CUMPLE"</formula>
    </cfRule>
    <cfRule type="cellIs" dxfId="8" priority="52" operator="equal">
      <formula>"CUMPLE"</formula>
    </cfRule>
  </conditionalFormatting>
  <conditionalFormatting sqref="S167:W167">
    <cfRule type="cellIs" dxfId="7" priority="98" operator="equal">
      <formula>$D$26</formula>
    </cfRule>
  </conditionalFormatting>
  <pageMargins left="0.7" right="0.7" top="0.75" bottom="0.75" header="0.3" footer="0.3"/>
  <pageSetup paperSize="9" orientation="portrait" horizontalDpi="1200" verticalDpi="1200" r:id="rId1"/>
  <ignoredErrors>
    <ignoredError sqref="L104 L114 S107 S109 S111 S116 J171:J182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187C307-0C95-4249-B944-85B51FDED084}">
          <x14:formula1>
            <xm:f>Auxiliar!$C$8:$C$30</xm:f>
          </x14:formula1>
          <xm:sqref>C37 C42 C47 C52</xm:sqref>
        </x14:dataValidation>
        <x14:dataValidation type="list" allowBlank="1" showInputMessage="1" showErrorMessage="1" xr:uid="{4D7ED53D-5819-4D66-8CDD-EEDD6625DC29}">
          <x14:formula1>
            <xm:f>Auxiliar!$E$40:$E$56</xm:f>
          </x14:formula1>
          <xm:sqref>S137</xm:sqref>
        </x14:dataValidation>
        <x14:dataValidation type="list" allowBlank="1" showInputMessage="1" showErrorMessage="1" xr:uid="{6C675CB1-044E-4633-8F59-D15D2ED43F46}">
          <x14:formula1>
            <xm:f>Auxiliar!$A$19:$A$20</xm:f>
          </x14:formula1>
          <xm:sqref>C32</xm:sqref>
        </x14:dataValidation>
        <x14:dataValidation type="list" allowBlank="1" showInputMessage="1" showErrorMessage="1" xr:uid="{95D9AA06-2771-4774-9FAA-695A691FDC2C}">
          <x14:formula1>
            <xm:f>Auxiliar!$A$6:$A$8</xm:f>
          </x14:formula1>
          <xm:sqref>D75</xm:sqref>
        </x14:dataValidation>
        <x14:dataValidation type="list" allowBlank="1" showInputMessage="1" showErrorMessage="1" xr:uid="{1AEE2C5D-EF22-447C-BC35-F8758834768F}">
          <x14:formula1>
            <xm:f>Auxiliar!$A$11:$A$16</xm:f>
          </x14:formula1>
          <xm:sqref>D76</xm:sqref>
        </x14:dataValidation>
        <x14:dataValidation type="list" allowBlank="1" showInputMessage="1" showErrorMessage="1" xr:uid="{530D60AF-0EED-4E70-969E-324EAB507890}">
          <x14:formula1>
            <xm:f>Auxiliar!$X$5:$X$44</xm:f>
          </x14:formula1>
          <xm:sqref>E175:G175 L189:N189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8BEB-B14A-4A75-8EB8-02F138F59249}">
  <dimension ref="A1:AC56"/>
  <sheetViews>
    <sheetView topLeftCell="A34" workbookViewId="0">
      <selection activeCell="E13" sqref="E13"/>
    </sheetView>
  </sheetViews>
  <sheetFormatPr baseColWidth="10" defaultRowHeight="15"/>
  <cols>
    <col min="3" max="3" width="24.85546875" customWidth="1"/>
    <col min="4" max="4" width="14.7109375" customWidth="1"/>
    <col min="5" max="5" width="15.7109375" customWidth="1"/>
    <col min="6" max="6" width="16.28515625" customWidth="1"/>
    <col min="7" max="7" width="15.7109375" customWidth="1"/>
    <col min="11" max="11" width="17.7109375" customWidth="1"/>
    <col min="12" max="12" width="17" customWidth="1"/>
    <col min="13" max="13" width="18.5703125" customWidth="1"/>
    <col min="14" max="15" width="17.5703125" customWidth="1"/>
    <col min="17" max="17" width="22.140625" customWidth="1"/>
    <col min="18" max="18" width="17.42578125" customWidth="1"/>
    <col min="19" max="19" width="12.28515625" customWidth="1"/>
    <col min="20" max="20" width="12.5703125" customWidth="1"/>
    <col min="21" max="21" width="13.28515625" customWidth="1"/>
    <col min="24" max="24" width="30.5703125" customWidth="1"/>
  </cols>
  <sheetData>
    <row r="1" spans="1:29" ht="15.75" thickBot="1">
      <c r="A1" s="98" t="s">
        <v>327</v>
      </c>
      <c r="Q1" t="s">
        <v>63</v>
      </c>
      <c r="R1">
        <f>(MATCH('CÁLCULO GLOBAL'!I60,Auxiliar!S4:W4,0))</f>
        <v>2</v>
      </c>
      <c r="X1" cm="1">
        <f t="array" ref="X1">MATCH('CÁLCULO GLOBAL'!E175:E175,Auxiliar!X5:X44,0)</f>
        <v>1</v>
      </c>
    </row>
    <row r="2" spans="1:29" ht="15.75" thickBot="1">
      <c r="A2" s="99" t="s">
        <v>328</v>
      </c>
      <c r="C2" s="1" t="s">
        <v>63</v>
      </c>
      <c r="D2" s="2">
        <f>MATCH('CÁLCULO GLOBAL'!C37,Auxiliar!C8:C30,0)</f>
        <v>4</v>
      </c>
      <c r="E2" s="66">
        <f>MATCH('CÁLCULO GLOBAL'!C42,Auxiliar!C8:C30,0)</f>
        <v>4</v>
      </c>
      <c r="F2" s="67">
        <f>MATCH('CÁLCULO GLOBAL'!C47,Auxiliar!C8:C30,0)</f>
        <v>4</v>
      </c>
      <c r="G2" s="181">
        <f>MATCH('CÁLCULO GLOBAL'!C52,Auxiliar!C8:C30,0)</f>
        <v>4</v>
      </c>
      <c r="J2" s="1" t="s">
        <v>63</v>
      </c>
      <c r="K2">
        <f>MATCH('CÁLCULO GLOBAL'!D76,Auxiliar!J6:J11,0)</f>
        <v>5</v>
      </c>
      <c r="L2">
        <f>IF('CÁLCULO GLOBAL'!L220&lt;=0.25,COLUMN(K5)-10,IF('CÁLCULO GLOBAL'!L220&lt;=0.5,COLUMN(L5)-10,IF('CÁLCULO GLOBAL'!L220&lt;=0.75,COLUMN(M5)-10,IF('CÁLCULO GLOBAL'!L220&lt;=1,COLUMN(N5)-10,IF(AND('CÁLCULO GLOBAL'!L220&gt;=1,'CÁLCULO GLOBAL'!L220&lt;=1.25),COLUMN(N5)-10,IF('CÁLCULO GLOBAL'!L220&gt;=1.25,COLUMN(O5)-10,"Error"))))))</f>
        <v>3</v>
      </c>
      <c r="M2" t="b">
        <f>AND(COLUMN(K6)=K2,ROW(K6)=L2)</f>
        <v>0</v>
      </c>
      <c r="Q2" s="448" t="s">
        <v>523</v>
      </c>
      <c r="R2" s="449"/>
      <c r="S2" s="449"/>
      <c r="T2" s="449"/>
      <c r="U2" s="449"/>
      <c r="V2" s="449"/>
      <c r="W2" s="450"/>
      <c r="X2" cm="1">
        <f t="array" ref="X2">MATCH('CÁLCULO GLOBAL'!L189:L189,Auxiliar!X5:X44,0)</f>
        <v>17</v>
      </c>
    </row>
    <row r="3" spans="1:29" ht="15.75" customHeight="1" thickBot="1">
      <c r="A3" s="100" t="s">
        <v>329</v>
      </c>
      <c r="C3" s="3" t="s">
        <v>61</v>
      </c>
      <c r="D3" s="4"/>
      <c r="E3" s="4"/>
      <c r="F3" s="4"/>
      <c r="G3" s="5"/>
      <c r="J3" s="455" t="s">
        <v>337</v>
      </c>
      <c r="K3" s="456"/>
      <c r="L3" s="456"/>
      <c r="M3" s="456"/>
      <c r="N3" s="456"/>
      <c r="O3" s="457"/>
      <c r="Q3" s="451" t="s">
        <v>524</v>
      </c>
      <c r="R3" s="451" t="s">
        <v>525</v>
      </c>
      <c r="S3" s="320" t="s">
        <v>526</v>
      </c>
      <c r="T3" s="320"/>
      <c r="U3" s="320"/>
      <c r="V3" s="320"/>
      <c r="W3" s="434"/>
    </row>
    <row r="4" spans="1:29" ht="15.75" customHeight="1" thickBot="1">
      <c r="C4" s="6" t="s">
        <v>62</v>
      </c>
      <c r="D4" s="7"/>
      <c r="E4" s="7"/>
      <c r="F4" s="7"/>
      <c r="G4" s="8"/>
      <c r="J4" s="458" t="s">
        <v>338</v>
      </c>
      <c r="K4" s="460" t="s">
        <v>339</v>
      </c>
      <c r="L4" s="461"/>
      <c r="M4" s="461"/>
      <c r="N4" s="461"/>
      <c r="O4" s="462"/>
      <c r="Q4" s="452"/>
      <c r="R4" s="452"/>
      <c r="S4" s="127">
        <v>5</v>
      </c>
      <c r="T4" s="127">
        <v>6</v>
      </c>
      <c r="U4" s="127">
        <v>8</v>
      </c>
      <c r="V4" s="127">
        <v>10</v>
      </c>
      <c r="W4" s="162">
        <v>11</v>
      </c>
      <c r="Y4" t="s">
        <v>489</v>
      </c>
      <c r="Z4" t="s">
        <v>491</v>
      </c>
      <c r="AA4" t="s">
        <v>565</v>
      </c>
      <c r="AB4" t="s">
        <v>566</v>
      </c>
      <c r="AC4" t="s">
        <v>567</v>
      </c>
    </row>
    <row r="5" spans="1:29" ht="15.75" thickBot="1">
      <c r="A5" s="98" t="s">
        <v>318</v>
      </c>
      <c r="C5" s="9" t="s">
        <v>52</v>
      </c>
      <c r="D5" s="10" t="s">
        <v>54</v>
      </c>
      <c r="E5" s="11" t="s">
        <v>54</v>
      </c>
      <c r="F5" s="10" t="s">
        <v>57</v>
      </c>
      <c r="G5" s="12" t="s">
        <v>59</v>
      </c>
      <c r="J5" s="459"/>
      <c r="K5" s="101" t="s">
        <v>340</v>
      </c>
      <c r="L5" s="102" t="s">
        <v>341</v>
      </c>
      <c r="M5" s="102" t="s">
        <v>342</v>
      </c>
      <c r="N5" s="102" t="s">
        <v>343</v>
      </c>
      <c r="O5" s="103" t="s">
        <v>344</v>
      </c>
      <c r="Q5" s="177" t="s">
        <v>527</v>
      </c>
      <c r="R5" s="177" t="s">
        <v>528</v>
      </c>
      <c r="S5" s="31">
        <v>6.58</v>
      </c>
      <c r="T5" s="31">
        <v>6.77</v>
      </c>
      <c r="U5" s="31">
        <v>0</v>
      </c>
      <c r="V5" s="31">
        <v>0</v>
      </c>
      <c r="W5" s="31">
        <v>0</v>
      </c>
      <c r="X5" s="177" t="str">
        <f>_xlfn.CONCAT(Q5,R5)</f>
        <v>Detalle a. Top Angle65x65x6</v>
      </c>
      <c r="Y5">
        <v>65</v>
      </c>
      <c r="Z5">
        <v>65</v>
      </c>
      <c r="AA5">
        <v>6</v>
      </c>
      <c r="AB5">
        <v>0</v>
      </c>
      <c r="AC5">
        <f>16*AA5</f>
        <v>96</v>
      </c>
    </row>
    <row r="6" spans="1:29">
      <c r="A6" s="99" t="s">
        <v>330</v>
      </c>
      <c r="C6" s="13" t="s">
        <v>53</v>
      </c>
      <c r="D6" s="14" t="s">
        <v>55</v>
      </c>
      <c r="E6" s="15" t="s">
        <v>56</v>
      </c>
      <c r="F6" s="14" t="s">
        <v>58</v>
      </c>
      <c r="G6" s="16" t="s">
        <v>60</v>
      </c>
      <c r="J6" s="104" t="s">
        <v>333</v>
      </c>
      <c r="K6" s="105">
        <v>0.8</v>
      </c>
      <c r="L6" s="105">
        <v>0.8</v>
      </c>
      <c r="M6" s="105">
        <v>0.8</v>
      </c>
      <c r="N6" s="105">
        <v>0.8</v>
      </c>
      <c r="O6" s="106">
        <v>0.8</v>
      </c>
      <c r="Q6" s="177" t="s">
        <v>527</v>
      </c>
      <c r="R6" s="177" t="s">
        <v>530</v>
      </c>
      <c r="S6" s="31">
        <v>8.4600000000000009</v>
      </c>
      <c r="T6" s="31">
        <v>8.6300000000000008</v>
      </c>
      <c r="U6" s="31">
        <v>0</v>
      </c>
      <c r="V6" s="31">
        <v>0</v>
      </c>
      <c r="W6" s="31">
        <v>0</v>
      </c>
      <c r="X6" s="177" t="str">
        <f t="shared" ref="X6:X7" si="0">_xlfn.CONCAT(Q6,R6)</f>
        <v>Detalle a. Top Angle65x65x8</v>
      </c>
      <c r="Y6">
        <v>65</v>
      </c>
      <c r="Z6">
        <v>65</v>
      </c>
      <c r="AA6">
        <v>8</v>
      </c>
      <c r="AB6">
        <v>0</v>
      </c>
      <c r="AC6">
        <f t="shared" ref="AC6:AC44" si="1">16*AA6</f>
        <v>128</v>
      </c>
    </row>
    <row r="7" spans="1:29" ht="15.75" thickBot="1">
      <c r="A7" s="99" t="s">
        <v>319</v>
      </c>
      <c r="C7" s="17"/>
      <c r="D7" s="18" t="s">
        <v>20</v>
      </c>
      <c r="E7" s="18" t="s">
        <v>20</v>
      </c>
      <c r="F7" s="18" t="s">
        <v>20</v>
      </c>
      <c r="G7" s="19" t="s">
        <v>20</v>
      </c>
      <c r="J7" s="107" t="s">
        <v>138</v>
      </c>
      <c r="K7" s="31">
        <v>1</v>
      </c>
      <c r="L7" s="31">
        <v>1</v>
      </c>
      <c r="M7" s="31">
        <v>1</v>
      </c>
      <c r="N7" s="31">
        <v>1</v>
      </c>
      <c r="O7" s="108">
        <v>1</v>
      </c>
      <c r="Q7" s="177" t="s">
        <v>527</v>
      </c>
      <c r="R7" s="177" t="s">
        <v>531</v>
      </c>
      <c r="S7" s="31">
        <v>13.82</v>
      </c>
      <c r="T7" s="31">
        <v>13.97</v>
      </c>
      <c r="U7" s="31">
        <v>0</v>
      </c>
      <c r="V7" s="31">
        <v>0</v>
      </c>
      <c r="W7" s="31">
        <v>0</v>
      </c>
      <c r="X7" s="177" t="str">
        <f t="shared" si="0"/>
        <v>Detalle a. Top Angle 75x75x10</v>
      </c>
      <c r="Y7">
        <v>75</v>
      </c>
      <c r="Z7">
        <v>75</v>
      </c>
      <c r="AA7">
        <v>10</v>
      </c>
      <c r="AB7">
        <v>0</v>
      </c>
      <c r="AC7">
        <f t="shared" si="1"/>
        <v>160</v>
      </c>
    </row>
    <row r="8" spans="1:29" ht="15.75" thickBot="1">
      <c r="A8" s="100" t="s">
        <v>331</v>
      </c>
      <c r="C8" s="32" t="s">
        <v>21</v>
      </c>
      <c r="D8" s="20">
        <v>205</v>
      </c>
      <c r="E8" s="20">
        <v>380</v>
      </c>
      <c r="F8" s="21">
        <v>137</v>
      </c>
      <c r="G8" s="22">
        <v>154</v>
      </c>
      <c r="H8" t="s">
        <v>609</v>
      </c>
      <c r="J8" s="107" t="s">
        <v>321</v>
      </c>
      <c r="K8" s="31">
        <v>1.2</v>
      </c>
      <c r="L8" s="31">
        <v>1.2</v>
      </c>
      <c r="M8" s="31">
        <v>1.1000000000000001</v>
      </c>
      <c r="N8" s="31">
        <v>1</v>
      </c>
      <c r="O8" s="108">
        <v>1</v>
      </c>
      <c r="Q8" s="178" t="s">
        <v>532</v>
      </c>
      <c r="R8" s="178" t="s">
        <v>528</v>
      </c>
      <c r="S8" s="179">
        <v>27.03</v>
      </c>
      <c r="T8" s="179">
        <v>28.16</v>
      </c>
      <c r="U8" s="31">
        <v>0</v>
      </c>
      <c r="V8" s="31">
        <v>0</v>
      </c>
      <c r="W8" s="31">
        <v>0</v>
      </c>
      <c r="X8" s="178" t="str">
        <f t="shared" ref="X8:X44" si="2">_xlfn.CONCAT(Q8,R8)</f>
        <v>Detalle b. Curb Angle65x65x6</v>
      </c>
      <c r="Y8">
        <v>65</v>
      </c>
      <c r="Z8">
        <v>65</v>
      </c>
      <c r="AA8">
        <v>6</v>
      </c>
      <c r="AB8">
        <v>25</v>
      </c>
      <c r="AC8">
        <f t="shared" si="1"/>
        <v>96</v>
      </c>
    </row>
    <row r="9" spans="1:29" ht="15.75" thickBot="1">
      <c r="C9" s="33" t="s">
        <v>22</v>
      </c>
      <c r="D9" s="24">
        <v>205</v>
      </c>
      <c r="E9" s="24">
        <v>380</v>
      </c>
      <c r="F9" s="25">
        <v>137</v>
      </c>
      <c r="G9" s="26">
        <v>154</v>
      </c>
      <c r="H9" t="s">
        <v>609</v>
      </c>
      <c r="J9" s="107" t="s">
        <v>6</v>
      </c>
      <c r="K9" s="31">
        <v>1.6</v>
      </c>
      <c r="L9" s="31">
        <v>1.4</v>
      </c>
      <c r="M9" s="31">
        <v>1.2</v>
      </c>
      <c r="N9" s="31">
        <v>1.1000000000000001</v>
      </c>
      <c r="O9" s="108">
        <v>1</v>
      </c>
      <c r="Q9" s="178" t="s">
        <v>532</v>
      </c>
      <c r="R9" s="178" t="s">
        <v>530</v>
      </c>
      <c r="S9" s="179">
        <v>33.049999999999997</v>
      </c>
      <c r="T9" s="179">
        <v>34.67</v>
      </c>
      <c r="U9" s="31">
        <v>0</v>
      </c>
      <c r="V9" s="31">
        <v>0</v>
      </c>
      <c r="W9" s="31">
        <v>0</v>
      </c>
      <c r="X9" s="178" t="str">
        <f t="shared" si="2"/>
        <v>Detalle b. Curb Angle65x65x8</v>
      </c>
      <c r="Y9">
        <v>65</v>
      </c>
      <c r="Z9">
        <v>65</v>
      </c>
      <c r="AA9">
        <v>8</v>
      </c>
      <c r="AB9">
        <v>25</v>
      </c>
      <c r="AC9">
        <f t="shared" si="1"/>
        <v>128</v>
      </c>
    </row>
    <row r="10" spans="1:29" ht="15.75" thickBot="1">
      <c r="A10" s="98" t="s">
        <v>332</v>
      </c>
      <c r="C10" s="33" t="s">
        <v>23</v>
      </c>
      <c r="D10" s="24">
        <v>235</v>
      </c>
      <c r="E10" s="24">
        <v>400</v>
      </c>
      <c r="F10" s="25">
        <v>157</v>
      </c>
      <c r="G10" s="26">
        <v>171</v>
      </c>
      <c r="H10" t="s">
        <v>609</v>
      </c>
      <c r="J10" s="107" t="s">
        <v>129</v>
      </c>
      <c r="K10" s="31">
        <v>2.5</v>
      </c>
      <c r="L10" s="31">
        <v>1.7</v>
      </c>
      <c r="M10" s="31">
        <v>1.2</v>
      </c>
      <c r="N10" s="31">
        <v>0.9</v>
      </c>
      <c r="O10" s="108">
        <v>0.9</v>
      </c>
      <c r="Q10" s="178" t="s">
        <v>532</v>
      </c>
      <c r="R10" s="178" t="s">
        <v>533</v>
      </c>
      <c r="S10" s="179">
        <v>35.979999999999997</v>
      </c>
      <c r="T10" s="179">
        <v>37.49</v>
      </c>
      <c r="U10" s="31">
        <v>0</v>
      </c>
      <c r="V10" s="31">
        <v>0</v>
      </c>
      <c r="W10" s="31">
        <v>0</v>
      </c>
      <c r="X10" s="178" t="str">
        <f t="shared" si="2"/>
        <v>Detalle b. Curb Angle75x75x6</v>
      </c>
      <c r="Y10">
        <v>75</v>
      </c>
      <c r="Z10">
        <v>75</v>
      </c>
      <c r="AA10">
        <v>6</v>
      </c>
      <c r="AB10">
        <v>25</v>
      </c>
      <c r="AC10">
        <f t="shared" si="1"/>
        <v>96</v>
      </c>
    </row>
    <row r="11" spans="1:29" ht="15.75" thickBot="1">
      <c r="A11" s="99" t="s">
        <v>333</v>
      </c>
      <c r="C11" s="33" t="s">
        <v>24</v>
      </c>
      <c r="D11" s="24">
        <v>250</v>
      </c>
      <c r="E11" s="24">
        <v>400</v>
      </c>
      <c r="F11" s="25">
        <v>160</v>
      </c>
      <c r="G11" s="26">
        <v>171</v>
      </c>
      <c r="H11" t="s">
        <v>610</v>
      </c>
      <c r="J11" s="109" t="s">
        <v>334</v>
      </c>
      <c r="K11" s="97" t="s">
        <v>345</v>
      </c>
      <c r="L11" s="97" t="s">
        <v>345</v>
      </c>
      <c r="M11" s="97" t="s">
        <v>345</v>
      </c>
      <c r="N11" s="97" t="s">
        <v>345</v>
      </c>
      <c r="O11" s="110" t="s">
        <v>345</v>
      </c>
      <c r="Q11" s="178" t="s">
        <v>532</v>
      </c>
      <c r="R11" s="178" t="s">
        <v>534</v>
      </c>
      <c r="S11" s="179">
        <v>47.24</v>
      </c>
      <c r="T11" s="179">
        <v>53.84</v>
      </c>
      <c r="U11" s="31">
        <v>0</v>
      </c>
      <c r="V11" s="31">
        <v>0</v>
      </c>
      <c r="W11" s="31">
        <v>0</v>
      </c>
      <c r="X11" s="178" t="str">
        <f t="shared" si="2"/>
        <v>Detalle b. Curb Angle75x75x10</v>
      </c>
      <c r="Y11">
        <v>75</v>
      </c>
      <c r="Z11">
        <v>75</v>
      </c>
      <c r="AA11">
        <v>10</v>
      </c>
      <c r="AB11">
        <v>25</v>
      </c>
      <c r="AC11">
        <f t="shared" si="1"/>
        <v>160</v>
      </c>
    </row>
    <row r="12" spans="1:29" ht="15.75" thickBot="1">
      <c r="A12" s="99" t="s">
        <v>138</v>
      </c>
      <c r="C12" s="33" t="s">
        <v>25</v>
      </c>
      <c r="D12" s="24">
        <v>360</v>
      </c>
      <c r="E12" s="24">
        <v>490</v>
      </c>
      <c r="F12" s="25">
        <v>196</v>
      </c>
      <c r="G12" s="26">
        <v>210</v>
      </c>
      <c r="H12" t="s">
        <v>610</v>
      </c>
      <c r="Q12" s="178" t="s">
        <v>532</v>
      </c>
      <c r="R12" s="178" t="s">
        <v>535</v>
      </c>
      <c r="S12" s="179">
        <v>63.8</v>
      </c>
      <c r="T12" s="179">
        <v>74.680000000000007</v>
      </c>
      <c r="U12" s="31">
        <v>0</v>
      </c>
      <c r="V12" s="31">
        <v>0</v>
      </c>
      <c r="W12" s="31">
        <v>0</v>
      </c>
      <c r="X12" s="178" t="str">
        <f t="shared" si="2"/>
        <v>Detalle b. Curb Angle100x100x7</v>
      </c>
      <c r="Y12">
        <v>100</v>
      </c>
      <c r="Z12">
        <v>100</v>
      </c>
      <c r="AA12">
        <v>7</v>
      </c>
      <c r="AB12">
        <v>25</v>
      </c>
      <c r="AC12">
        <f t="shared" si="1"/>
        <v>112</v>
      </c>
    </row>
    <row r="13" spans="1:29" ht="15.75" thickBot="1">
      <c r="A13" s="99" t="s">
        <v>321</v>
      </c>
      <c r="C13" s="33" t="s">
        <v>26</v>
      </c>
      <c r="D13" s="24">
        <v>220</v>
      </c>
      <c r="E13" s="24">
        <v>400</v>
      </c>
      <c r="F13" s="25">
        <v>147</v>
      </c>
      <c r="G13" s="26">
        <v>165</v>
      </c>
      <c r="H13" t="s">
        <v>611</v>
      </c>
      <c r="J13" s="1" t="s">
        <v>63</v>
      </c>
      <c r="K13">
        <f>MATCH('CÁLCULO GLOBAL'!D76,Auxiliar!J17:J22,0)</f>
        <v>5</v>
      </c>
      <c r="L13">
        <f>IF('CÁLCULO GLOBAL'!L222&lt;=0.1,COLUMN(K16)-10,IF('CÁLCULO GLOBAL'!L222&lt;=0.2,COLUMN(L16)-10,IF('CÁLCULO GLOBAL'!L222&lt;=0.3,COLUMN(M16)-10,IF('CÁLCULO GLOBAL'!L222&lt;=0.4,COLUMN(N16)-10,IF(AND('CÁLCULO GLOBAL'!L222&gt;=0.4,'CÁLCULO GLOBAL'!L222&lt;=0.5),COLUMN(N16)-10,IF('CÁLCULO GLOBAL'!L222&gt;=0.5,COLUMN(O16)-10,"Error"))))))</f>
        <v>3</v>
      </c>
      <c r="Q13" s="178" t="s">
        <v>532</v>
      </c>
      <c r="R13" s="178" t="s">
        <v>536</v>
      </c>
      <c r="S13" s="179">
        <v>71.09</v>
      </c>
      <c r="T13" s="179">
        <v>87.69</v>
      </c>
      <c r="U13" s="31">
        <v>0</v>
      </c>
      <c r="V13" s="31">
        <v>0</v>
      </c>
      <c r="W13" s="31">
        <v>0</v>
      </c>
      <c r="X13" s="178" t="str">
        <f t="shared" si="2"/>
        <v>Detalle b. Curb Angle100x100x10</v>
      </c>
      <c r="Y13">
        <v>100</v>
      </c>
      <c r="Z13">
        <v>100</v>
      </c>
      <c r="AA13">
        <v>10</v>
      </c>
      <c r="AB13">
        <v>25</v>
      </c>
      <c r="AC13">
        <f t="shared" si="1"/>
        <v>160</v>
      </c>
    </row>
    <row r="14" spans="1:29" ht="15.75" thickBot="1">
      <c r="A14" s="99" t="s">
        <v>6</v>
      </c>
      <c r="C14" s="33" t="s">
        <v>27</v>
      </c>
      <c r="D14" s="24">
        <v>240</v>
      </c>
      <c r="E14" s="24">
        <v>450</v>
      </c>
      <c r="F14" s="25">
        <v>160</v>
      </c>
      <c r="G14" s="26">
        <v>180</v>
      </c>
      <c r="H14" t="s">
        <v>612</v>
      </c>
      <c r="J14" s="455" t="s">
        <v>346</v>
      </c>
      <c r="K14" s="456"/>
      <c r="L14" s="456"/>
      <c r="M14" s="456"/>
      <c r="N14" s="456"/>
      <c r="O14" s="457"/>
      <c r="Q14" s="177" t="s">
        <v>537</v>
      </c>
      <c r="R14" s="177" t="s">
        <v>528</v>
      </c>
      <c r="S14" s="31">
        <v>28.09</v>
      </c>
      <c r="T14" s="31">
        <v>29.15</v>
      </c>
      <c r="U14" s="31">
        <v>30.73</v>
      </c>
      <c r="V14" s="31">
        <v>32.04</v>
      </c>
      <c r="W14" s="108">
        <v>32.69</v>
      </c>
      <c r="X14" s="177" t="str">
        <f t="shared" si="2"/>
        <v>Detalle c. One Angle65x65x6</v>
      </c>
      <c r="Y14">
        <v>65</v>
      </c>
      <c r="Z14">
        <v>65</v>
      </c>
      <c r="AA14">
        <v>6</v>
      </c>
      <c r="AB14">
        <f>16*AA14</f>
        <v>96</v>
      </c>
      <c r="AC14">
        <f t="shared" si="1"/>
        <v>96</v>
      </c>
    </row>
    <row r="15" spans="1:29">
      <c r="A15" s="99" t="s">
        <v>129</v>
      </c>
      <c r="C15" s="33" t="s">
        <v>28</v>
      </c>
      <c r="D15" s="24">
        <v>290</v>
      </c>
      <c r="E15" s="24">
        <v>485</v>
      </c>
      <c r="F15" s="25">
        <v>193</v>
      </c>
      <c r="G15" s="26">
        <v>208</v>
      </c>
      <c r="H15" t="s">
        <v>612</v>
      </c>
      <c r="J15" s="458" t="s">
        <v>338</v>
      </c>
      <c r="K15" s="460" t="s">
        <v>347</v>
      </c>
      <c r="L15" s="461"/>
      <c r="M15" s="461"/>
      <c r="N15" s="461"/>
      <c r="O15" s="462"/>
      <c r="Q15" s="177" t="s">
        <v>537</v>
      </c>
      <c r="R15" s="177" t="s">
        <v>530</v>
      </c>
      <c r="S15" s="31">
        <v>34.630000000000003</v>
      </c>
      <c r="T15" s="31">
        <v>36.200000000000003</v>
      </c>
      <c r="U15" s="31">
        <v>38.51</v>
      </c>
      <c r="V15" s="31">
        <v>40.32</v>
      </c>
      <c r="W15" s="108">
        <v>41.17</v>
      </c>
      <c r="X15" s="177" t="str">
        <f t="shared" si="2"/>
        <v>Detalle c. One Angle65x65x8</v>
      </c>
      <c r="Y15">
        <v>65</v>
      </c>
      <c r="Z15">
        <v>65</v>
      </c>
      <c r="AA15">
        <v>8</v>
      </c>
      <c r="AB15">
        <f t="shared" ref="AB15:AB44" si="3">16*AA15</f>
        <v>128</v>
      </c>
      <c r="AC15">
        <f t="shared" si="1"/>
        <v>128</v>
      </c>
    </row>
    <row r="16" spans="1:29" ht="15.75" thickBot="1">
      <c r="A16" s="100" t="s">
        <v>334</v>
      </c>
      <c r="C16" s="33" t="s">
        <v>29</v>
      </c>
      <c r="D16" s="24">
        <v>205</v>
      </c>
      <c r="E16" s="24">
        <v>380</v>
      </c>
      <c r="F16" s="25">
        <v>137</v>
      </c>
      <c r="G16" s="26">
        <v>154</v>
      </c>
      <c r="H16" t="s">
        <v>612</v>
      </c>
      <c r="J16" s="459"/>
      <c r="K16" s="101" t="s">
        <v>348</v>
      </c>
      <c r="L16" s="102" t="s">
        <v>349</v>
      </c>
      <c r="M16" s="102" t="s">
        <v>350</v>
      </c>
      <c r="N16" s="102" t="s">
        <v>351</v>
      </c>
      <c r="O16" s="103" t="s">
        <v>352</v>
      </c>
      <c r="Q16" s="177" t="s">
        <v>537</v>
      </c>
      <c r="R16" s="177" t="s">
        <v>538</v>
      </c>
      <c r="S16" s="31">
        <v>60.59</v>
      </c>
      <c r="T16" s="31">
        <v>63.21</v>
      </c>
      <c r="U16" s="31">
        <v>66.88</v>
      </c>
      <c r="V16" s="31">
        <v>69.48</v>
      </c>
      <c r="W16" s="108">
        <v>70.59</v>
      </c>
      <c r="X16" s="177" t="str">
        <f t="shared" si="2"/>
        <v>Detalle c. One Angle100x75x7</v>
      </c>
      <c r="Y16">
        <v>100</v>
      </c>
      <c r="Z16">
        <v>75</v>
      </c>
      <c r="AA16">
        <v>7</v>
      </c>
      <c r="AB16">
        <f t="shared" si="3"/>
        <v>112</v>
      </c>
      <c r="AC16">
        <f t="shared" si="1"/>
        <v>112</v>
      </c>
    </row>
    <row r="17" spans="1:29" ht="15.75" thickBot="1">
      <c r="C17" s="33" t="s">
        <v>31</v>
      </c>
      <c r="D17" s="24">
        <v>220</v>
      </c>
      <c r="E17" s="24">
        <v>415</v>
      </c>
      <c r="F17" s="25">
        <v>147</v>
      </c>
      <c r="G17" s="26">
        <v>165</v>
      </c>
      <c r="H17" t="s">
        <v>612</v>
      </c>
      <c r="J17" s="104" t="s">
        <v>333</v>
      </c>
      <c r="K17" s="105">
        <v>0.8</v>
      </c>
      <c r="L17" s="105">
        <v>0.8</v>
      </c>
      <c r="M17" s="105">
        <v>0.8</v>
      </c>
      <c r="N17" s="105">
        <v>0.8</v>
      </c>
      <c r="O17" s="106">
        <v>0.8</v>
      </c>
      <c r="Q17" s="177" t="s">
        <v>537</v>
      </c>
      <c r="R17" s="177" t="s">
        <v>539</v>
      </c>
      <c r="S17" s="31">
        <v>66.97</v>
      </c>
      <c r="T17" s="31">
        <v>70.08</v>
      </c>
      <c r="U17" s="31">
        <v>74.489999999999995</v>
      </c>
      <c r="V17" s="31">
        <v>77.599999999999994</v>
      </c>
      <c r="W17" s="108">
        <v>78.900000000000006</v>
      </c>
      <c r="X17" s="177" t="str">
        <f t="shared" si="2"/>
        <v>Detalle c. One Angle102x75x8</v>
      </c>
      <c r="Y17">
        <v>102</v>
      </c>
      <c r="Z17">
        <v>75</v>
      </c>
      <c r="AA17">
        <v>8</v>
      </c>
      <c r="AB17">
        <f t="shared" si="3"/>
        <v>128</v>
      </c>
      <c r="AC17">
        <f t="shared" si="1"/>
        <v>128</v>
      </c>
    </row>
    <row r="18" spans="1:29" ht="15.75" thickBot="1">
      <c r="A18" s="98" t="s">
        <v>335</v>
      </c>
      <c r="C18" s="33" t="s">
        <v>30</v>
      </c>
      <c r="D18" s="24">
        <v>240</v>
      </c>
      <c r="E18" s="24">
        <v>450</v>
      </c>
      <c r="F18" s="25">
        <v>160</v>
      </c>
      <c r="G18" s="26">
        <v>180</v>
      </c>
      <c r="H18" t="s">
        <v>612</v>
      </c>
      <c r="J18" s="107" t="s">
        <v>138</v>
      </c>
      <c r="K18" s="31">
        <v>1</v>
      </c>
      <c r="L18" s="31">
        <v>1</v>
      </c>
      <c r="M18" s="31">
        <v>1</v>
      </c>
      <c r="N18" s="31">
        <v>1</v>
      </c>
      <c r="O18" s="108">
        <v>1</v>
      </c>
      <c r="Q18" s="177" t="s">
        <v>537</v>
      </c>
      <c r="R18" s="177" t="s">
        <v>540</v>
      </c>
      <c r="S18" s="31">
        <v>89.41</v>
      </c>
      <c r="T18" s="31">
        <v>93.71</v>
      </c>
      <c r="U18" s="31">
        <v>99.86</v>
      </c>
      <c r="V18" s="31">
        <v>104.08</v>
      </c>
      <c r="W18" s="108">
        <v>105.78</v>
      </c>
      <c r="X18" s="177" t="str">
        <f t="shared" si="2"/>
        <v>Detalle c. One Angle125x75x8</v>
      </c>
      <c r="Y18">
        <v>125</v>
      </c>
      <c r="Z18">
        <v>75</v>
      </c>
      <c r="AA18">
        <v>8</v>
      </c>
      <c r="AB18">
        <f t="shared" si="3"/>
        <v>128</v>
      </c>
      <c r="AC18">
        <f t="shared" si="1"/>
        <v>128</v>
      </c>
    </row>
    <row r="19" spans="1:29">
      <c r="A19" s="99" t="s">
        <v>336</v>
      </c>
      <c r="C19" s="33" t="s">
        <v>32</v>
      </c>
      <c r="D19" s="24">
        <v>260</v>
      </c>
      <c r="E19" s="24">
        <v>485</v>
      </c>
      <c r="F19" s="25">
        <v>173</v>
      </c>
      <c r="G19" s="26">
        <v>195</v>
      </c>
      <c r="H19" t="s">
        <v>612</v>
      </c>
      <c r="J19" s="107" t="s">
        <v>321</v>
      </c>
      <c r="K19" s="31">
        <v>1.7</v>
      </c>
      <c r="L19" s="31">
        <v>1.6</v>
      </c>
      <c r="M19" s="31">
        <v>1.5</v>
      </c>
      <c r="N19" s="31">
        <v>1.4</v>
      </c>
      <c r="O19" s="108">
        <v>1.3</v>
      </c>
      <c r="Q19" s="177" t="s">
        <v>537</v>
      </c>
      <c r="R19" s="177" t="s">
        <v>541</v>
      </c>
      <c r="S19" s="31">
        <v>105.2</v>
      </c>
      <c r="T19" s="31">
        <v>110.77</v>
      </c>
      <c r="U19" s="31">
        <v>118.97</v>
      </c>
      <c r="V19" s="31">
        <v>124.68</v>
      </c>
      <c r="W19" s="108">
        <v>126.97</v>
      </c>
      <c r="X19" s="177" t="str">
        <f t="shared" si="2"/>
        <v>Detalle c. One Angle125x75x10</v>
      </c>
      <c r="Y19">
        <v>125</v>
      </c>
      <c r="Z19">
        <v>75</v>
      </c>
      <c r="AA19">
        <v>10</v>
      </c>
      <c r="AB19">
        <f t="shared" si="3"/>
        <v>160</v>
      </c>
      <c r="AC19">
        <f t="shared" si="1"/>
        <v>160</v>
      </c>
    </row>
    <row r="20" spans="1:29" ht="15.75" thickBot="1">
      <c r="A20" s="100" t="s">
        <v>111</v>
      </c>
      <c r="C20" s="33" t="s">
        <v>33</v>
      </c>
      <c r="D20" s="24">
        <v>275</v>
      </c>
      <c r="E20" s="24">
        <v>450</v>
      </c>
      <c r="F20" s="25">
        <v>180</v>
      </c>
      <c r="G20" s="26">
        <v>193</v>
      </c>
      <c r="H20" t="s">
        <v>612</v>
      </c>
      <c r="J20" s="107" t="s">
        <v>6</v>
      </c>
      <c r="K20" s="31">
        <v>2.4</v>
      </c>
      <c r="L20" s="31">
        <v>2</v>
      </c>
      <c r="M20" s="31">
        <v>1.8</v>
      </c>
      <c r="N20" s="31">
        <v>1.6</v>
      </c>
      <c r="O20" s="108">
        <v>1.5</v>
      </c>
      <c r="Q20" s="177" t="s">
        <v>537</v>
      </c>
      <c r="R20" s="177" t="s">
        <v>542</v>
      </c>
      <c r="S20" s="31">
        <v>134.13999999999999</v>
      </c>
      <c r="T20" s="31">
        <v>141.38</v>
      </c>
      <c r="U20" s="31">
        <v>152.24</v>
      </c>
      <c r="V20" s="31">
        <v>159.79</v>
      </c>
      <c r="W20" s="108">
        <v>162.78</v>
      </c>
      <c r="X20" s="177" t="str">
        <f t="shared" si="2"/>
        <v>Detalle c. One Angle150x75x10</v>
      </c>
      <c r="Y20">
        <v>150</v>
      </c>
      <c r="Z20">
        <v>75</v>
      </c>
      <c r="AA20">
        <v>10</v>
      </c>
      <c r="AB20">
        <f t="shared" si="3"/>
        <v>160</v>
      </c>
      <c r="AC20">
        <f t="shared" si="1"/>
        <v>160</v>
      </c>
    </row>
    <row r="21" spans="1:29">
      <c r="C21" s="33" t="s">
        <v>34</v>
      </c>
      <c r="D21" s="24">
        <v>295</v>
      </c>
      <c r="E21" s="24">
        <v>485</v>
      </c>
      <c r="F21" s="25">
        <v>194</v>
      </c>
      <c r="G21" s="26">
        <v>208</v>
      </c>
      <c r="H21" t="s">
        <v>613</v>
      </c>
      <c r="J21" s="107" t="s">
        <v>129</v>
      </c>
      <c r="K21" s="31">
        <v>3.5</v>
      </c>
      <c r="L21" s="31">
        <v>3.2</v>
      </c>
      <c r="M21" s="31">
        <v>2.8</v>
      </c>
      <c r="N21" s="31">
        <v>2.4</v>
      </c>
      <c r="O21" s="108">
        <v>2.4</v>
      </c>
      <c r="Q21" s="177" t="s">
        <v>537</v>
      </c>
      <c r="R21" s="177" t="s">
        <v>543</v>
      </c>
      <c r="S21" s="31">
        <v>155.91</v>
      </c>
      <c r="T21" s="31">
        <v>171.17</v>
      </c>
      <c r="U21" s="31">
        <v>184.11</v>
      </c>
      <c r="V21" s="31">
        <v>193.08</v>
      </c>
      <c r="W21" s="108">
        <v>196.62</v>
      </c>
      <c r="X21" s="177" t="str">
        <f t="shared" si="2"/>
        <v>Detalle c. One Angle150x100x10</v>
      </c>
      <c r="Y21">
        <v>150</v>
      </c>
      <c r="Z21">
        <v>100</v>
      </c>
      <c r="AA21">
        <v>10</v>
      </c>
      <c r="AB21">
        <f t="shared" si="3"/>
        <v>160</v>
      </c>
      <c r="AC21">
        <f t="shared" si="1"/>
        <v>160</v>
      </c>
    </row>
    <row r="22" spans="1:29" ht="15.75" thickBot="1">
      <c r="C22" s="33" t="s">
        <v>38</v>
      </c>
      <c r="D22" s="24">
        <v>345</v>
      </c>
      <c r="E22" s="24">
        <v>485</v>
      </c>
      <c r="F22" s="25">
        <v>194</v>
      </c>
      <c r="G22" s="26">
        <v>208</v>
      </c>
      <c r="H22" t="s">
        <v>614</v>
      </c>
      <c r="J22" s="109" t="s">
        <v>334</v>
      </c>
      <c r="K22" s="97" t="s">
        <v>345</v>
      </c>
      <c r="L22" s="97" t="s">
        <v>345</v>
      </c>
      <c r="M22" s="97" t="s">
        <v>345</v>
      </c>
      <c r="N22" s="97" t="s">
        <v>345</v>
      </c>
      <c r="O22" s="110" t="s">
        <v>345</v>
      </c>
      <c r="Q22" s="178" t="s">
        <v>544</v>
      </c>
      <c r="R22" s="178" t="s">
        <v>545</v>
      </c>
      <c r="S22" s="179">
        <v>181.22</v>
      </c>
      <c r="T22" s="179">
        <v>186.49</v>
      </c>
      <c r="U22" s="179">
        <v>195.15</v>
      </c>
      <c r="V22" s="179">
        <v>201.83</v>
      </c>
      <c r="W22" s="180">
        <v>204.62</v>
      </c>
      <c r="X22" s="178" t="str">
        <f t="shared" si="2"/>
        <v>Detalle d. Two Angle100x75x8</v>
      </c>
      <c r="Y22">
        <v>100</v>
      </c>
      <c r="Z22">
        <v>75</v>
      </c>
      <c r="AA22">
        <v>8</v>
      </c>
      <c r="AB22">
        <f t="shared" si="3"/>
        <v>128</v>
      </c>
      <c r="AC22">
        <f t="shared" si="1"/>
        <v>128</v>
      </c>
    </row>
    <row r="23" spans="1:29">
      <c r="C23" s="33" t="s">
        <v>39</v>
      </c>
      <c r="D23" s="24">
        <v>310</v>
      </c>
      <c r="E23" s="24">
        <v>450</v>
      </c>
      <c r="F23" s="25">
        <v>180</v>
      </c>
      <c r="G23" s="26">
        <v>193</v>
      </c>
      <c r="H23" t="s">
        <v>614</v>
      </c>
      <c r="Q23" s="178" t="s">
        <v>544</v>
      </c>
      <c r="R23" s="178" t="s">
        <v>546</v>
      </c>
      <c r="S23" s="179">
        <v>216.81</v>
      </c>
      <c r="T23" s="179">
        <v>223.37</v>
      </c>
      <c r="U23" s="179">
        <v>234.55</v>
      </c>
      <c r="V23" s="179">
        <v>243.41</v>
      </c>
      <c r="W23" s="180">
        <v>247.16</v>
      </c>
      <c r="X23" s="178" t="str">
        <f t="shared" si="2"/>
        <v>Detalle d. Two Angle100x75x10</v>
      </c>
      <c r="Y23">
        <v>100</v>
      </c>
      <c r="Z23">
        <v>75</v>
      </c>
      <c r="AA23">
        <v>10</v>
      </c>
      <c r="AB23">
        <f t="shared" si="3"/>
        <v>160</v>
      </c>
      <c r="AC23">
        <f t="shared" si="1"/>
        <v>160</v>
      </c>
    </row>
    <row r="24" spans="1:29" ht="15.75" thickBot="1">
      <c r="C24" s="33" t="s">
        <v>41</v>
      </c>
      <c r="D24" s="24">
        <v>415</v>
      </c>
      <c r="E24" s="24">
        <v>550</v>
      </c>
      <c r="F24" s="25">
        <v>220</v>
      </c>
      <c r="G24" s="26">
        <v>236</v>
      </c>
      <c r="H24" t="s">
        <v>614</v>
      </c>
      <c r="Q24" s="178" t="s">
        <v>544</v>
      </c>
      <c r="R24" s="178" t="s">
        <v>540</v>
      </c>
      <c r="S24" s="179">
        <v>249.17</v>
      </c>
      <c r="T24" s="179">
        <v>254.84</v>
      </c>
      <c r="U24" s="179">
        <v>269.58999999999997</v>
      </c>
      <c r="V24" s="179">
        <v>279.39</v>
      </c>
      <c r="W24" s="180">
        <v>283.45</v>
      </c>
      <c r="X24" s="178" t="str">
        <f t="shared" si="2"/>
        <v>Detalle d. Two Angle125x75x8</v>
      </c>
      <c r="Y24">
        <v>125</v>
      </c>
      <c r="Z24">
        <v>75</v>
      </c>
      <c r="AA24">
        <v>8</v>
      </c>
      <c r="AB24">
        <f t="shared" si="3"/>
        <v>128</v>
      </c>
      <c r="AC24">
        <f t="shared" si="1"/>
        <v>128</v>
      </c>
    </row>
    <row r="25" spans="1:29">
      <c r="C25" s="33" t="s">
        <v>40</v>
      </c>
      <c r="D25" s="24">
        <v>380</v>
      </c>
      <c r="E25" s="24">
        <v>515</v>
      </c>
      <c r="F25" s="25">
        <v>206</v>
      </c>
      <c r="G25" s="26">
        <v>221</v>
      </c>
      <c r="H25" t="s">
        <v>614</v>
      </c>
      <c r="J25" s="463" t="s">
        <v>64</v>
      </c>
      <c r="K25" s="464"/>
      <c r="L25" s="464"/>
      <c r="M25" s="464"/>
      <c r="N25" s="464"/>
      <c r="O25" s="465"/>
      <c r="Q25" s="178" t="s">
        <v>544</v>
      </c>
      <c r="R25" s="178" t="s">
        <v>541</v>
      </c>
      <c r="S25" s="179">
        <v>289.77</v>
      </c>
      <c r="T25" s="179">
        <v>308.17</v>
      </c>
      <c r="U25" s="179">
        <v>324.39999999999998</v>
      </c>
      <c r="V25" s="179">
        <v>337.32</v>
      </c>
      <c r="W25" s="180">
        <v>342.77</v>
      </c>
      <c r="X25" s="178" t="str">
        <f t="shared" si="2"/>
        <v>Detalle d. Two Angle125x75x10</v>
      </c>
      <c r="Y25">
        <v>125</v>
      </c>
      <c r="Z25">
        <v>75</v>
      </c>
      <c r="AA25">
        <v>10</v>
      </c>
      <c r="AB25">
        <f t="shared" si="3"/>
        <v>160</v>
      </c>
      <c r="AC25">
        <f t="shared" si="1"/>
        <v>160</v>
      </c>
    </row>
    <row r="26" spans="1:29">
      <c r="C26" s="33" t="s">
        <v>42</v>
      </c>
      <c r="D26" s="24">
        <v>345</v>
      </c>
      <c r="E26" s="24">
        <v>485</v>
      </c>
      <c r="F26" s="25">
        <v>194</v>
      </c>
      <c r="G26" s="26">
        <v>208</v>
      </c>
      <c r="H26" t="s">
        <v>615</v>
      </c>
      <c r="J26" s="466"/>
      <c r="K26" s="467"/>
      <c r="L26" s="467"/>
      <c r="M26" s="467"/>
      <c r="N26" s="467"/>
      <c r="O26" s="468"/>
      <c r="Q26" s="178" t="s">
        <v>544</v>
      </c>
      <c r="R26" s="178" t="s">
        <v>547</v>
      </c>
      <c r="S26" s="179">
        <v>324.97000000000003</v>
      </c>
      <c r="T26" s="179">
        <v>335.45</v>
      </c>
      <c r="U26" s="179">
        <v>353.12</v>
      </c>
      <c r="V26" s="179">
        <v>366.82</v>
      </c>
      <c r="W26" s="180">
        <v>372.48</v>
      </c>
      <c r="X26" s="178" t="str">
        <f t="shared" si="2"/>
        <v>Detalle d. Two Angle150x75x8</v>
      </c>
      <c r="Y26">
        <v>150</v>
      </c>
      <c r="Z26">
        <v>75</v>
      </c>
      <c r="AA26">
        <v>8</v>
      </c>
      <c r="AB26">
        <f t="shared" si="3"/>
        <v>128</v>
      </c>
      <c r="AC26">
        <f t="shared" si="1"/>
        <v>128</v>
      </c>
    </row>
    <row r="27" spans="1:29">
      <c r="C27" s="33" t="s">
        <v>43</v>
      </c>
      <c r="D27" s="24">
        <v>315</v>
      </c>
      <c r="E27" s="24">
        <v>450</v>
      </c>
      <c r="F27" s="25">
        <v>180</v>
      </c>
      <c r="G27" s="26">
        <v>193</v>
      </c>
      <c r="H27" t="s">
        <v>615</v>
      </c>
      <c r="J27" s="466"/>
      <c r="K27" s="467"/>
      <c r="L27" s="467"/>
      <c r="M27" s="467"/>
      <c r="N27" s="467"/>
      <c r="O27" s="468"/>
      <c r="Q27" s="178" t="s">
        <v>544</v>
      </c>
      <c r="R27" s="178" t="s">
        <v>542</v>
      </c>
      <c r="S27" s="179">
        <v>390.24</v>
      </c>
      <c r="T27" s="179">
        <v>402.92</v>
      </c>
      <c r="U27" s="179">
        <v>425.14</v>
      </c>
      <c r="V27" s="179">
        <v>443.06</v>
      </c>
      <c r="W27" s="180">
        <v>450.61</v>
      </c>
      <c r="X27" s="178" t="str">
        <f t="shared" si="2"/>
        <v>Detalle d. Two Angle150x75x10</v>
      </c>
      <c r="Y27">
        <v>150</v>
      </c>
      <c r="Z27">
        <v>75</v>
      </c>
      <c r="AA27">
        <v>10</v>
      </c>
      <c r="AB27">
        <f t="shared" si="3"/>
        <v>160</v>
      </c>
      <c r="AC27">
        <f t="shared" si="1"/>
        <v>160</v>
      </c>
    </row>
    <row r="28" spans="1:29">
      <c r="C28" s="33" t="s">
        <v>35</v>
      </c>
      <c r="D28" s="24">
        <v>345</v>
      </c>
      <c r="E28" s="24">
        <v>485</v>
      </c>
      <c r="F28" s="25">
        <v>194</v>
      </c>
      <c r="G28" s="26">
        <v>208</v>
      </c>
      <c r="H28" t="s">
        <v>615</v>
      </c>
      <c r="J28" s="466"/>
      <c r="K28" s="467"/>
      <c r="L28" s="467"/>
      <c r="M28" s="467"/>
      <c r="N28" s="467"/>
      <c r="O28" s="468"/>
      <c r="Q28" s="178" t="s">
        <v>544</v>
      </c>
      <c r="R28" s="178" t="s">
        <v>543</v>
      </c>
      <c r="S28" s="179">
        <v>461.11</v>
      </c>
      <c r="T28" s="179">
        <v>473.57</v>
      </c>
      <c r="U28" s="179">
        <v>495.62</v>
      </c>
      <c r="V28" s="179">
        <v>513.69000000000005</v>
      </c>
      <c r="W28" s="180">
        <v>521.41</v>
      </c>
      <c r="X28" s="178" t="str">
        <f t="shared" si="2"/>
        <v>Detalle d. Two Angle150x100x10</v>
      </c>
      <c r="Y28">
        <v>150</v>
      </c>
      <c r="Z28">
        <v>100</v>
      </c>
      <c r="AA28">
        <v>10</v>
      </c>
      <c r="AB28">
        <f t="shared" si="3"/>
        <v>160</v>
      </c>
      <c r="AC28">
        <f t="shared" si="1"/>
        <v>160</v>
      </c>
    </row>
    <row r="29" spans="1:29">
      <c r="C29" s="33" t="s">
        <v>36</v>
      </c>
      <c r="D29" s="24">
        <v>345</v>
      </c>
      <c r="E29" s="24">
        <v>485</v>
      </c>
      <c r="F29" s="25">
        <v>194</v>
      </c>
      <c r="G29" s="26">
        <v>208</v>
      </c>
      <c r="H29" t="s">
        <v>615</v>
      </c>
      <c r="J29" s="466"/>
      <c r="K29" s="467"/>
      <c r="L29" s="467"/>
      <c r="M29" s="467"/>
      <c r="N29" s="467"/>
      <c r="O29" s="468"/>
      <c r="Q29" s="177" t="s">
        <v>548</v>
      </c>
      <c r="R29" s="177" t="s">
        <v>549</v>
      </c>
      <c r="S29" s="31">
        <v>0</v>
      </c>
      <c r="T29" s="31">
        <v>341</v>
      </c>
      <c r="U29" s="31">
        <v>375</v>
      </c>
      <c r="V29" s="31">
        <v>392</v>
      </c>
      <c r="W29" s="108">
        <v>399</v>
      </c>
      <c r="X29" s="177" t="str">
        <f t="shared" si="2"/>
        <v>Detalle e. Formed plateb=250</v>
      </c>
      <c r="Y29">
        <v>250</v>
      </c>
      <c r="Z29">
        <v>65</v>
      </c>
      <c r="AA29">
        <v>6</v>
      </c>
      <c r="AB29">
        <f t="shared" si="3"/>
        <v>96</v>
      </c>
      <c r="AC29">
        <f t="shared" si="1"/>
        <v>96</v>
      </c>
    </row>
    <row r="30" spans="1:29">
      <c r="C30" s="33" t="s">
        <v>37</v>
      </c>
      <c r="D30" s="24">
        <v>415</v>
      </c>
      <c r="E30" s="24">
        <v>550</v>
      </c>
      <c r="F30" s="25">
        <v>220</v>
      </c>
      <c r="G30" s="26">
        <v>236</v>
      </c>
      <c r="H30" t="s">
        <v>615</v>
      </c>
      <c r="J30" s="466"/>
      <c r="K30" s="467"/>
      <c r="L30" s="467"/>
      <c r="M30" s="467"/>
      <c r="N30" s="467"/>
      <c r="O30" s="468"/>
      <c r="Q30" s="177" t="s">
        <v>548</v>
      </c>
      <c r="R30" s="177" t="s">
        <v>550</v>
      </c>
      <c r="S30" s="31">
        <v>0</v>
      </c>
      <c r="T30" s="31">
        <v>427</v>
      </c>
      <c r="U30" s="31">
        <v>473</v>
      </c>
      <c r="V30" s="31">
        <v>496</v>
      </c>
      <c r="W30" s="108">
        <v>505</v>
      </c>
      <c r="X30" s="177" t="str">
        <f t="shared" si="2"/>
        <v>Detalle e. Formed plateb=300</v>
      </c>
      <c r="Y30">
        <v>300</v>
      </c>
      <c r="Z30">
        <v>65</v>
      </c>
      <c r="AA30">
        <v>6</v>
      </c>
      <c r="AB30">
        <f t="shared" si="3"/>
        <v>96</v>
      </c>
      <c r="AC30">
        <f t="shared" si="1"/>
        <v>96</v>
      </c>
    </row>
    <row r="31" spans="1:29">
      <c r="C31" s="23"/>
      <c r="D31" s="24"/>
      <c r="E31" s="24"/>
      <c r="F31" s="25"/>
      <c r="G31" s="26"/>
      <c r="J31" s="466"/>
      <c r="K31" s="467"/>
      <c r="L31" s="467"/>
      <c r="M31" s="467"/>
      <c r="N31" s="467"/>
      <c r="O31" s="468"/>
      <c r="Q31" s="177" t="s">
        <v>548</v>
      </c>
      <c r="R31" s="177" t="s">
        <v>551</v>
      </c>
      <c r="S31" s="31">
        <v>0</v>
      </c>
      <c r="T31" s="31">
        <v>519</v>
      </c>
      <c r="U31" s="31">
        <v>577</v>
      </c>
      <c r="V31" s="31">
        <v>606</v>
      </c>
      <c r="W31" s="108">
        <v>618</v>
      </c>
      <c r="X31" s="177" t="str">
        <f t="shared" si="2"/>
        <v>Detalle e. Formed plateb=350</v>
      </c>
      <c r="Y31">
        <v>350</v>
      </c>
      <c r="Z31">
        <v>65</v>
      </c>
      <c r="AA31">
        <v>6</v>
      </c>
      <c r="AB31">
        <f t="shared" si="3"/>
        <v>96</v>
      </c>
      <c r="AC31">
        <f t="shared" si="1"/>
        <v>96</v>
      </c>
    </row>
    <row r="32" spans="1:29" ht="15.75" thickBot="1">
      <c r="C32" s="23"/>
      <c r="D32" s="24"/>
      <c r="E32" s="24"/>
      <c r="F32" s="25"/>
      <c r="G32" s="26"/>
      <c r="J32" s="469"/>
      <c r="K32" s="470"/>
      <c r="L32" s="470"/>
      <c r="M32" s="470"/>
      <c r="N32" s="470"/>
      <c r="O32" s="471"/>
      <c r="Q32" s="177" t="s">
        <v>548</v>
      </c>
      <c r="R32" s="177" t="s">
        <v>552</v>
      </c>
      <c r="S32" s="31">
        <v>0</v>
      </c>
      <c r="T32" s="31">
        <v>615</v>
      </c>
      <c r="U32" s="31">
        <v>687</v>
      </c>
      <c r="V32" s="31">
        <v>723</v>
      </c>
      <c r="W32" s="108">
        <v>737</v>
      </c>
      <c r="X32" s="177" t="str">
        <f t="shared" si="2"/>
        <v>Detalle e. Formed plateb=400</v>
      </c>
      <c r="Y32">
        <v>400</v>
      </c>
      <c r="Z32">
        <v>65</v>
      </c>
      <c r="AA32">
        <v>6</v>
      </c>
      <c r="AB32">
        <f t="shared" si="3"/>
        <v>96</v>
      </c>
      <c r="AC32">
        <f t="shared" si="1"/>
        <v>96</v>
      </c>
    </row>
    <row r="33" spans="3:29">
      <c r="C33" s="23"/>
      <c r="D33" s="24"/>
      <c r="E33" s="24"/>
      <c r="F33" s="25"/>
      <c r="G33" s="26"/>
      <c r="Q33" s="177" t="s">
        <v>548</v>
      </c>
      <c r="R33" s="177" t="s">
        <v>553</v>
      </c>
      <c r="S33" s="31">
        <v>0</v>
      </c>
      <c r="T33" s="31">
        <v>717</v>
      </c>
      <c r="U33" s="31">
        <v>802</v>
      </c>
      <c r="V33" s="31">
        <v>846</v>
      </c>
      <c r="W33" s="108">
        <v>864</v>
      </c>
      <c r="X33" s="177" t="str">
        <f t="shared" si="2"/>
        <v>Detalle e. Formed plateb=450</v>
      </c>
      <c r="Y33">
        <v>450</v>
      </c>
      <c r="Z33">
        <v>65</v>
      </c>
      <c r="AA33">
        <v>6</v>
      </c>
      <c r="AB33">
        <f t="shared" si="3"/>
        <v>96</v>
      </c>
      <c r="AC33">
        <f t="shared" si="1"/>
        <v>96</v>
      </c>
    </row>
    <row r="34" spans="3:29" ht="15.75" thickBot="1">
      <c r="C34" s="27"/>
      <c r="D34" s="28"/>
      <c r="E34" s="28"/>
      <c r="F34" s="29"/>
      <c r="G34" s="30"/>
      <c r="Q34" s="177" t="s">
        <v>548</v>
      </c>
      <c r="R34" s="177" t="s">
        <v>554</v>
      </c>
      <c r="S34" s="31">
        <v>0</v>
      </c>
      <c r="T34" s="31">
        <v>824</v>
      </c>
      <c r="U34" s="31">
        <v>923</v>
      </c>
      <c r="V34" s="31">
        <v>976</v>
      </c>
      <c r="W34" s="108">
        <v>996</v>
      </c>
      <c r="X34" s="177" t="str">
        <f t="shared" si="2"/>
        <v>Detalle e. Formed plateb=500</v>
      </c>
      <c r="Y34">
        <v>500</v>
      </c>
      <c r="Z34">
        <v>65</v>
      </c>
      <c r="AA34">
        <v>6</v>
      </c>
      <c r="AB34">
        <f t="shared" si="3"/>
        <v>96</v>
      </c>
      <c r="AC34">
        <f t="shared" si="1"/>
        <v>96</v>
      </c>
    </row>
    <row r="35" spans="3:29" ht="15.75" thickBot="1">
      <c r="Q35" s="177" t="s">
        <v>548</v>
      </c>
      <c r="R35" s="177" t="s">
        <v>555</v>
      </c>
      <c r="S35" s="31">
        <v>0</v>
      </c>
      <c r="T35" s="31">
        <v>937</v>
      </c>
      <c r="U35" s="31">
        <v>1049</v>
      </c>
      <c r="V35" s="31">
        <v>1111</v>
      </c>
      <c r="W35" s="108">
        <v>1135</v>
      </c>
      <c r="X35" s="177" t="str">
        <f t="shared" si="2"/>
        <v>Detalle e. Formed plateb=550</v>
      </c>
      <c r="Y35">
        <v>550</v>
      </c>
      <c r="Z35">
        <v>65</v>
      </c>
      <c r="AA35">
        <v>6</v>
      </c>
      <c r="AB35">
        <f t="shared" si="3"/>
        <v>96</v>
      </c>
      <c r="AC35">
        <f t="shared" si="1"/>
        <v>96</v>
      </c>
    </row>
    <row r="36" spans="3:29" ht="15.75" thickBot="1">
      <c r="C36" s="86" t="s">
        <v>63</v>
      </c>
      <c r="D36" s="82"/>
      <c r="E36" s="82"/>
      <c r="F36" s="87">
        <f>MATCH('CÁLCULO GLOBAL'!S137,Auxiliar!E40:E56,0)</f>
        <v>1</v>
      </c>
      <c r="G36" s="82"/>
      <c r="H36" s="82"/>
      <c r="I36" s="88"/>
      <c r="K36" s="111" t="s">
        <v>63</v>
      </c>
      <c r="L36">
        <f>IF('CÁLCULO GLOBAL'!L225&lt;0.33,1,2)</f>
        <v>2</v>
      </c>
      <c r="M36">
        <f>MATCH('CÁLCULO GLOBAL'!D75,Auxiliar!L38:N38,)</f>
        <v>1</v>
      </c>
      <c r="Q36" s="177" t="s">
        <v>548</v>
      </c>
      <c r="R36" s="177" t="s">
        <v>556</v>
      </c>
      <c r="S36" s="31">
        <v>0</v>
      </c>
      <c r="T36" s="31">
        <v>1054</v>
      </c>
      <c r="U36" s="31">
        <v>1181</v>
      </c>
      <c r="V36" s="31">
        <v>1252</v>
      </c>
      <c r="W36" s="108">
        <v>1280</v>
      </c>
      <c r="X36" s="177" t="str">
        <f t="shared" si="2"/>
        <v>Detalle e. Formed plateb=600</v>
      </c>
      <c r="Y36">
        <v>600</v>
      </c>
      <c r="Z36">
        <v>65</v>
      </c>
      <c r="AA36">
        <v>6</v>
      </c>
      <c r="AB36">
        <f t="shared" si="3"/>
        <v>96</v>
      </c>
      <c r="AC36">
        <f t="shared" si="1"/>
        <v>96</v>
      </c>
    </row>
    <row r="37" spans="3:29" ht="16.5" customHeight="1" thickBot="1">
      <c r="C37" s="477" t="s">
        <v>262</v>
      </c>
      <c r="D37" s="478"/>
      <c r="E37" s="479"/>
      <c r="F37" s="480" t="s">
        <v>263</v>
      </c>
      <c r="G37" s="483" t="s">
        <v>264</v>
      </c>
      <c r="H37" s="479"/>
      <c r="I37" s="484" t="s">
        <v>265</v>
      </c>
      <c r="K37" s="472" t="s">
        <v>353</v>
      </c>
      <c r="L37" s="474" t="s">
        <v>318</v>
      </c>
      <c r="M37" s="475"/>
      <c r="N37" s="476"/>
      <c r="Q37" s="177" t="s">
        <v>548</v>
      </c>
      <c r="R37" s="177" t="s">
        <v>557</v>
      </c>
      <c r="S37" s="31">
        <v>0</v>
      </c>
      <c r="T37" s="31">
        <v>1176</v>
      </c>
      <c r="U37" s="31">
        <v>1317</v>
      </c>
      <c r="V37" s="31">
        <v>1399</v>
      </c>
      <c r="W37" s="108">
        <v>1432</v>
      </c>
      <c r="X37" s="177" t="str">
        <f t="shared" si="2"/>
        <v>Detalle e. Formed plateb=650</v>
      </c>
      <c r="Y37">
        <v>650</v>
      </c>
      <c r="Z37">
        <v>65</v>
      </c>
      <c r="AA37">
        <v>6</v>
      </c>
      <c r="AB37">
        <f t="shared" si="3"/>
        <v>96</v>
      </c>
      <c r="AC37">
        <f t="shared" si="1"/>
        <v>96</v>
      </c>
    </row>
    <row r="38" spans="3:29" ht="15.75" thickBot="1">
      <c r="C38" s="487" t="s">
        <v>266</v>
      </c>
      <c r="D38" s="489" t="s">
        <v>11</v>
      </c>
      <c r="E38" s="89" t="s">
        <v>267</v>
      </c>
      <c r="F38" s="481"/>
      <c r="G38" s="491" t="s">
        <v>268</v>
      </c>
      <c r="H38" s="491" t="s">
        <v>269</v>
      </c>
      <c r="I38" s="485"/>
      <c r="K38" s="473"/>
      <c r="L38" s="112" t="s">
        <v>330</v>
      </c>
      <c r="M38" s="113" t="s">
        <v>319</v>
      </c>
      <c r="N38" s="114" t="s">
        <v>331</v>
      </c>
      <c r="Q38" s="177" t="s">
        <v>548</v>
      </c>
      <c r="R38" s="177" t="s">
        <v>558</v>
      </c>
      <c r="S38" s="31">
        <v>0</v>
      </c>
      <c r="T38" s="31">
        <v>1304</v>
      </c>
      <c r="U38" s="31">
        <v>1459</v>
      </c>
      <c r="V38" s="31">
        <v>1551</v>
      </c>
      <c r="W38" s="108">
        <v>1589</v>
      </c>
      <c r="X38" s="177" t="str">
        <f t="shared" si="2"/>
        <v>Detalle e. Formed plateb=700</v>
      </c>
      <c r="Y38">
        <v>700</v>
      </c>
      <c r="Z38">
        <v>65</v>
      </c>
      <c r="AA38">
        <v>6</v>
      </c>
      <c r="AB38">
        <f t="shared" si="3"/>
        <v>96</v>
      </c>
      <c r="AC38">
        <f t="shared" si="1"/>
        <v>96</v>
      </c>
    </row>
    <row r="39" spans="3:29" ht="15.75" thickBot="1">
      <c r="C39" s="488"/>
      <c r="D39" s="490"/>
      <c r="E39" s="90" t="s">
        <v>270</v>
      </c>
      <c r="F39" s="482"/>
      <c r="G39" s="492"/>
      <c r="H39" s="492"/>
      <c r="I39" s="486"/>
      <c r="K39" s="115" t="s">
        <v>354</v>
      </c>
      <c r="L39" s="116" t="s">
        <v>355</v>
      </c>
      <c r="M39" s="116" t="s">
        <v>355</v>
      </c>
      <c r="N39" s="117" t="s">
        <v>356</v>
      </c>
      <c r="Q39" s="177" t="s">
        <v>548</v>
      </c>
      <c r="R39" s="177" t="s">
        <v>559</v>
      </c>
      <c r="S39" s="31">
        <v>0</v>
      </c>
      <c r="T39" s="31">
        <v>1436</v>
      </c>
      <c r="U39" s="31">
        <v>1607</v>
      </c>
      <c r="V39" s="31">
        <v>1709</v>
      </c>
      <c r="W39" s="108">
        <v>1752</v>
      </c>
      <c r="X39" s="177" t="str">
        <f t="shared" si="2"/>
        <v>Detalle e. Formed plateb=750</v>
      </c>
      <c r="Y39">
        <v>750</v>
      </c>
      <c r="Z39">
        <v>65</v>
      </c>
      <c r="AA39">
        <v>6</v>
      </c>
      <c r="AB39">
        <f t="shared" si="3"/>
        <v>96</v>
      </c>
      <c r="AC39">
        <f t="shared" si="1"/>
        <v>96</v>
      </c>
    </row>
    <row r="40" spans="3:29" ht="15.75" thickBot="1">
      <c r="C40" s="91" t="s">
        <v>271</v>
      </c>
      <c r="D40" s="92">
        <v>12.7</v>
      </c>
      <c r="E40" s="92" t="s">
        <v>230</v>
      </c>
      <c r="F40" s="93">
        <v>0.81</v>
      </c>
      <c r="G40" s="92">
        <v>16</v>
      </c>
      <c r="H40" s="92">
        <v>23</v>
      </c>
      <c r="I40" s="92">
        <v>13</v>
      </c>
      <c r="K40" s="118" t="s">
        <v>357</v>
      </c>
      <c r="L40" s="84" t="s">
        <v>355</v>
      </c>
      <c r="M40" s="84" t="s">
        <v>358</v>
      </c>
      <c r="N40" s="119" t="s">
        <v>356</v>
      </c>
      <c r="Q40" s="177" t="s">
        <v>548</v>
      </c>
      <c r="R40" s="177" t="s">
        <v>560</v>
      </c>
      <c r="S40" s="31">
        <v>0</v>
      </c>
      <c r="T40" s="31">
        <v>1573</v>
      </c>
      <c r="U40" s="31">
        <v>1759</v>
      </c>
      <c r="V40" s="31">
        <v>1873</v>
      </c>
      <c r="W40" s="108">
        <v>1921</v>
      </c>
      <c r="X40" s="177" t="str">
        <f t="shared" si="2"/>
        <v>Detalle e. Formed plateb=800</v>
      </c>
      <c r="Y40">
        <v>800</v>
      </c>
      <c r="Z40">
        <v>65</v>
      </c>
      <c r="AA40">
        <v>6</v>
      </c>
      <c r="AB40">
        <f t="shared" si="3"/>
        <v>96</v>
      </c>
      <c r="AC40">
        <f t="shared" si="1"/>
        <v>96</v>
      </c>
    </row>
    <row r="41" spans="3:29" ht="15.75" thickBot="1">
      <c r="C41" s="91" t="s">
        <v>272</v>
      </c>
      <c r="D41" s="92">
        <v>15.9</v>
      </c>
      <c r="E41" s="92" t="s">
        <v>273</v>
      </c>
      <c r="F41" s="93">
        <v>1.3</v>
      </c>
      <c r="G41" s="92">
        <v>19</v>
      </c>
      <c r="H41" s="92">
        <v>25</v>
      </c>
      <c r="I41" s="92">
        <v>11</v>
      </c>
      <c r="Q41" s="177" t="s">
        <v>548</v>
      </c>
      <c r="R41" s="177" t="s">
        <v>561</v>
      </c>
      <c r="S41" s="31">
        <v>0</v>
      </c>
      <c r="T41" s="31">
        <v>1716</v>
      </c>
      <c r="U41" s="31">
        <v>1917</v>
      </c>
      <c r="V41" s="31">
        <v>2043</v>
      </c>
      <c r="W41" s="108">
        <v>2096</v>
      </c>
      <c r="X41" s="177" t="str">
        <f t="shared" si="2"/>
        <v>Detalle e. Formed plateb=850</v>
      </c>
      <c r="Y41">
        <v>850</v>
      </c>
      <c r="Z41">
        <v>65</v>
      </c>
      <c r="AA41">
        <v>6</v>
      </c>
      <c r="AB41">
        <f t="shared" si="3"/>
        <v>96</v>
      </c>
      <c r="AC41">
        <f t="shared" si="1"/>
        <v>96</v>
      </c>
    </row>
    <row r="42" spans="3:29" ht="15.75" thickBot="1">
      <c r="C42" s="91" t="s">
        <v>274</v>
      </c>
      <c r="D42" s="92">
        <v>19</v>
      </c>
      <c r="E42" s="92" t="s">
        <v>275</v>
      </c>
      <c r="F42" s="93">
        <v>1.95</v>
      </c>
      <c r="G42" s="92">
        <v>21</v>
      </c>
      <c r="H42" s="92">
        <v>29</v>
      </c>
      <c r="I42" s="92">
        <v>10</v>
      </c>
      <c r="K42" t="s">
        <v>637</v>
      </c>
      <c r="L42">
        <f>IF('CÁLCULO GLOBAL'!K87&lt;=190,1,IF('CÁLCULO GLOBAL'!K87&lt;=210,2,IF('CÁLCULO GLOBAL'!K87&lt;=220,3,IF('CÁLCULO GLOBAL'!K87&lt;=250,4,"ERROR"))))</f>
        <v>1</v>
      </c>
      <c r="M42">
        <f>IF('CÁLCULO GLOBAL'!I47&lt;=19,1,IF('CÁLCULO GLOBAL'!I47&lt;=25,2,IF('CÁLCULO GLOBAL'!I47&lt;=32,3,IF('CÁLCULO GLOBAL'!I47&lt;=40,4,IF('CÁLCULO GLOBAL'!I47&lt;=45,5,"ERROR")))))</f>
        <v>1</v>
      </c>
      <c r="Q42" s="177" t="s">
        <v>548</v>
      </c>
      <c r="R42" s="177" t="s">
        <v>562</v>
      </c>
      <c r="S42" s="31">
        <v>0</v>
      </c>
      <c r="T42" s="31">
        <v>1864</v>
      </c>
      <c r="U42" s="31">
        <v>2080</v>
      </c>
      <c r="V42" s="31">
        <v>2218</v>
      </c>
      <c r="W42" s="108">
        <v>2276</v>
      </c>
      <c r="X42" s="177" t="str">
        <f t="shared" si="2"/>
        <v>Detalle e. Formed plateb=900</v>
      </c>
      <c r="Y42">
        <v>900</v>
      </c>
      <c r="Z42">
        <v>65</v>
      </c>
      <c r="AA42">
        <v>6</v>
      </c>
      <c r="AB42">
        <f t="shared" si="3"/>
        <v>96</v>
      </c>
      <c r="AC42">
        <f t="shared" si="1"/>
        <v>96</v>
      </c>
    </row>
    <row r="43" spans="3:29" ht="15.75" thickBot="1">
      <c r="C43" s="91" t="s">
        <v>276</v>
      </c>
      <c r="D43" s="92">
        <v>22.2</v>
      </c>
      <c r="E43" s="92" t="s">
        <v>277</v>
      </c>
      <c r="F43" s="93">
        <v>2.7</v>
      </c>
      <c r="G43" s="92">
        <v>24</v>
      </c>
      <c r="H43" s="92">
        <v>32</v>
      </c>
      <c r="I43" s="92">
        <v>9</v>
      </c>
      <c r="K43" s="446" t="s">
        <v>626</v>
      </c>
      <c r="L43" s="453" t="s">
        <v>632</v>
      </c>
      <c r="M43" s="453"/>
      <c r="N43" s="453"/>
      <c r="O43" s="454"/>
      <c r="Q43" s="177" t="s">
        <v>548</v>
      </c>
      <c r="R43" s="177" t="s">
        <v>563</v>
      </c>
      <c r="S43" s="31">
        <v>0</v>
      </c>
      <c r="T43" s="31">
        <v>2016</v>
      </c>
      <c r="U43" s="31">
        <v>2248</v>
      </c>
      <c r="V43" s="31">
        <v>2398</v>
      </c>
      <c r="W43" s="108">
        <v>2463</v>
      </c>
      <c r="X43" s="177" t="str">
        <f t="shared" si="2"/>
        <v>Detalle e. Formed plateb=950</v>
      </c>
      <c r="Y43">
        <v>950</v>
      </c>
      <c r="Z43">
        <v>65</v>
      </c>
      <c r="AA43">
        <v>6</v>
      </c>
      <c r="AB43">
        <f t="shared" si="3"/>
        <v>96</v>
      </c>
      <c r="AC43">
        <f t="shared" si="1"/>
        <v>96</v>
      </c>
    </row>
    <row r="44" spans="3:29" ht="15.75" thickBot="1">
      <c r="C44" s="91" t="s">
        <v>278</v>
      </c>
      <c r="D44" s="92">
        <v>25.4</v>
      </c>
      <c r="E44" s="92" t="s">
        <v>279</v>
      </c>
      <c r="F44" s="93">
        <v>3.55</v>
      </c>
      <c r="G44" s="92">
        <v>27</v>
      </c>
      <c r="H44" s="92">
        <v>35</v>
      </c>
      <c r="I44" s="92">
        <v>8</v>
      </c>
      <c r="K44" s="447"/>
      <c r="L44" s="127" t="s">
        <v>633</v>
      </c>
      <c r="M44" s="127" t="s">
        <v>634</v>
      </c>
      <c r="N44" s="127" t="s">
        <v>635</v>
      </c>
      <c r="O44" s="162" t="s">
        <v>636</v>
      </c>
      <c r="Q44" s="101" t="s">
        <v>548</v>
      </c>
      <c r="R44" s="101" t="s">
        <v>564</v>
      </c>
      <c r="S44" s="31">
        <v>0</v>
      </c>
      <c r="T44" s="97">
        <v>2174</v>
      </c>
      <c r="U44" s="97">
        <v>2421</v>
      </c>
      <c r="V44" s="97">
        <v>2584</v>
      </c>
      <c r="W44" s="110">
        <v>2654</v>
      </c>
      <c r="X44" s="177" t="str">
        <f t="shared" si="2"/>
        <v>Detalle e. Formed plateb=1000</v>
      </c>
      <c r="Y44">
        <v>1000</v>
      </c>
      <c r="Z44">
        <v>65</v>
      </c>
      <c r="AA44">
        <v>6</v>
      </c>
      <c r="AB44">
        <f t="shared" si="3"/>
        <v>96</v>
      </c>
      <c r="AC44">
        <f t="shared" si="1"/>
        <v>96</v>
      </c>
    </row>
    <row r="45" spans="3:29" ht="15.75" thickBot="1">
      <c r="C45" s="91" t="s">
        <v>280</v>
      </c>
      <c r="D45" s="92">
        <v>28.6</v>
      </c>
      <c r="E45" s="92" t="s">
        <v>281</v>
      </c>
      <c r="F45" s="93">
        <v>4.47</v>
      </c>
      <c r="G45" s="92">
        <v>29</v>
      </c>
      <c r="H45" s="92">
        <v>41</v>
      </c>
      <c r="I45" s="92">
        <v>7</v>
      </c>
      <c r="K45" s="192" t="s">
        <v>627</v>
      </c>
      <c r="L45" s="31">
        <v>6</v>
      </c>
      <c r="M45" s="31">
        <v>6</v>
      </c>
      <c r="N45" s="31">
        <v>7</v>
      </c>
      <c r="O45" s="108">
        <v>9</v>
      </c>
    </row>
    <row r="46" spans="3:29" ht="15.75" thickBot="1">
      <c r="C46" s="91" t="s">
        <v>282</v>
      </c>
      <c r="D46" s="92">
        <v>31.8</v>
      </c>
      <c r="E46" s="92" t="s">
        <v>283</v>
      </c>
      <c r="F46" s="93">
        <v>5.74</v>
      </c>
      <c r="G46" s="92">
        <v>32</v>
      </c>
      <c r="H46" s="92">
        <v>44</v>
      </c>
      <c r="I46" s="92">
        <v>7</v>
      </c>
      <c r="K46" s="192" t="s">
        <v>629</v>
      </c>
      <c r="L46" s="31">
        <v>6</v>
      </c>
      <c r="M46" s="31">
        <v>7</v>
      </c>
      <c r="N46" s="31">
        <v>10</v>
      </c>
      <c r="O46" s="108">
        <v>11</v>
      </c>
    </row>
    <row r="47" spans="3:29" ht="15.75" thickBot="1">
      <c r="C47" s="91" t="s">
        <v>284</v>
      </c>
      <c r="D47" s="92">
        <v>34.9</v>
      </c>
      <c r="E47" s="92" t="s">
        <v>285</v>
      </c>
      <c r="F47" s="93">
        <v>6.8</v>
      </c>
      <c r="G47" s="92">
        <v>35</v>
      </c>
      <c r="H47" s="92">
        <v>48</v>
      </c>
      <c r="I47" s="92">
        <v>6</v>
      </c>
      <c r="K47" s="192" t="s">
        <v>628</v>
      </c>
      <c r="L47" s="31">
        <v>6</v>
      </c>
      <c r="M47" s="31">
        <v>9</v>
      </c>
      <c r="N47" s="31">
        <v>12</v>
      </c>
      <c r="O47" s="108">
        <v>14</v>
      </c>
    </row>
    <row r="48" spans="3:29" ht="15.75" thickBot="1">
      <c r="C48" s="91" t="s">
        <v>286</v>
      </c>
      <c r="D48" s="92">
        <v>38.1</v>
      </c>
      <c r="E48" s="92" t="s">
        <v>287</v>
      </c>
      <c r="F48" s="93">
        <v>8.35</v>
      </c>
      <c r="G48" s="92">
        <v>41</v>
      </c>
      <c r="H48" s="92">
        <v>51</v>
      </c>
      <c r="I48" s="92">
        <v>6</v>
      </c>
      <c r="K48" s="192" t="s">
        <v>630</v>
      </c>
      <c r="L48" s="31">
        <v>8</v>
      </c>
      <c r="M48" s="31">
        <v>11</v>
      </c>
      <c r="N48" s="31">
        <v>14</v>
      </c>
      <c r="O48" s="108">
        <v>17</v>
      </c>
    </row>
    <row r="49" spans="3:15" ht="15.75" thickBot="1">
      <c r="C49" s="91" t="s">
        <v>288</v>
      </c>
      <c r="D49" s="92">
        <v>41.28</v>
      </c>
      <c r="E49" s="92" t="s">
        <v>289</v>
      </c>
      <c r="F49" s="93">
        <v>9.77</v>
      </c>
      <c r="G49" s="92">
        <v>41</v>
      </c>
      <c r="H49" s="92">
        <v>54</v>
      </c>
      <c r="I49" s="92">
        <v>6</v>
      </c>
      <c r="K49" s="141" t="s">
        <v>631</v>
      </c>
      <c r="L49" s="97">
        <v>9</v>
      </c>
      <c r="M49" s="97">
        <v>13</v>
      </c>
      <c r="N49" s="97">
        <v>16</v>
      </c>
      <c r="O49" s="110">
        <v>19</v>
      </c>
    </row>
    <row r="50" spans="3:15" ht="15.75" thickBot="1">
      <c r="C50" s="91" t="s">
        <v>290</v>
      </c>
      <c r="D50" s="92">
        <v>44.5</v>
      </c>
      <c r="E50" s="92" t="s">
        <v>291</v>
      </c>
      <c r="F50" s="93">
        <v>11.25</v>
      </c>
      <c r="G50" s="92">
        <v>44</v>
      </c>
      <c r="H50" s="92">
        <v>57</v>
      </c>
      <c r="I50" s="92">
        <v>5</v>
      </c>
    </row>
    <row r="51" spans="3:15" ht="15.75" thickBot="1">
      <c r="C51" s="91" t="s">
        <v>292</v>
      </c>
      <c r="D51" s="92">
        <v>47.6</v>
      </c>
      <c r="E51" s="92" t="s">
        <v>293</v>
      </c>
      <c r="F51" s="93">
        <v>13.22</v>
      </c>
      <c r="G51" s="92">
        <v>48</v>
      </c>
      <c r="H51" s="92">
        <v>60</v>
      </c>
      <c r="I51" s="92">
        <v>5</v>
      </c>
    </row>
    <row r="52" spans="3:15" ht="15.75" thickBot="1">
      <c r="C52" s="91" t="s">
        <v>294</v>
      </c>
      <c r="D52" s="92">
        <v>50.8</v>
      </c>
      <c r="E52" s="92" t="s">
        <v>295</v>
      </c>
      <c r="F52" s="93">
        <v>14.84</v>
      </c>
      <c r="G52" s="92">
        <v>51</v>
      </c>
      <c r="H52" s="92">
        <v>64</v>
      </c>
      <c r="I52" s="92">
        <v>5</v>
      </c>
    </row>
    <row r="53" spans="3:15" ht="15.75" thickBot="1">
      <c r="C53" s="91" t="s">
        <v>296</v>
      </c>
      <c r="D53" s="92">
        <v>57.15</v>
      </c>
      <c r="E53" s="92" t="s">
        <v>297</v>
      </c>
      <c r="F53" s="93">
        <v>19.48</v>
      </c>
      <c r="G53" s="92">
        <v>57</v>
      </c>
      <c r="H53" s="92">
        <v>70</v>
      </c>
      <c r="I53" s="92">
        <v>5</v>
      </c>
    </row>
    <row r="54" spans="3:15" ht="15.75" thickBot="1">
      <c r="C54" s="91" t="s">
        <v>298</v>
      </c>
      <c r="D54" s="92">
        <v>63.5</v>
      </c>
      <c r="E54" s="92" t="s">
        <v>299</v>
      </c>
      <c r="F54" s="93">
        <v>23.97</v>
      </c>
      <c r="G54" s="92">
        <v>60</v>
      </c>
      <c r="H54" s="92">
        <v>78</v>
      </c>
      <c r="I54" s="92">
        <v>4</v>
      </c>
    </row>
    <row r="55" spans="3:15" ht="15.75" thickBot="1">
      <c r="C55" s="91" t="s">
        <v>300</v>
      </c>
      <c r="D55" s="92">
        <v>69.900000000000006</v>
      </c>
      <c r="E55" s="92" t="s">
        <v>301</v>
      </c>
      <c r="F55" s="93">
        <v>29.79</v>
      </c>
      <c r="G55" s="92">
        <v>67</v>
      </c>
      <c r="H55" s="92">
        <v>86</v>
      </c>
      <c r="I55" s="92">
        <v>4</v>
      </c>
    </row>
    <row r="56" spans="3:15" ht="15.75" thickBot="1">
      <c r="C56" s="91" t="s">
        <v>302</v>
      </c>
      <c r="D56" s="92">
        <v>76.2</v>
      </c>
      <c r="E56" s="92" t="s">
        <v>303</v>
      </c>
      <c r="F56" s="93">
        <v>36.26</v>
      </c>
      <c r="G56" s="92">
        <v>73</v>
      </c>
      <c r="H56" s="92">
        <v>92</v>
      </c>
      <c r="I56" s="92">
        <v>4</v>
      </c>
    </row>
  </sheetData>
  <mergeCells count="23">
    <mergeCell ref="C37:E37"/>
    <mergeCell ref="F37:F39"/>
    <mergeCell ref="G37:H37"/>
    <mergeCell ref="I37:I39"/>
    <mergeCell ref="C38:C39"/>
    <mergeCell ref="D38:D39"/>
    <mergeCell ref="G38:G39"/>
    <mergeCell ref="H38:H39"/>
    <mergeCell ref="K43:K44"/>
    <mergeCell ref="Q2:W2"/>
    <mergeCell ref="Q3:Q4"/>
    <mergeCell ref="R3:R4"/>
    <mergeCell ref="S3:W3"/>
    <mergeCell ref="L43:O43"/>
    <mergeCell ref="J14:O14"/>
    <mergeCell ref="J15:J16"/>
    <mergeCell ref="K15:O15"/>
    <mergeCell ref="J25:O32"/>
    <mergeCell ref="K37:K38"/>
    <mergeCell ref="L37:N37"/>
    <mergeCell ref="J3:O3"/>
    <mergeCell ref="J4:J5"/>
    <mergeCell ref="K4:O4"/>
  </mergeCells>
  <phoneticPr fontId="8" type="noConversion"/>
  <conditionalFormatting sqref="K6:O11">
    <cfRule type="expression" dxfId="1" priority="3">
      <formula>AND(COLUMN()=$K$2,ROW()=$L$2)</formula>
    </cfRule>
  </conditionalFormatting>
  <conditionalFormatting sqref="L38:N38">
    <cfRule type="expression" dxfId="0" priority="2">
      <formula>$D$50</formula>
    </cfRule>
  </conditionalFormatting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4" operator="equal" id="{9223F0E0-767A-4AE0-BCF9-B318D6C4F647}">
            <xm:f>'CÁLCULO GLOBAL'!$C$47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95" operator="equal" id="{7A79C027-8D11-43FF-B806-A25A355F301B}">
            <xm:f>'CÁLCULO GLOBAL'!$C$42</xm:f>
            <x14:dxf>
              <fill>
                <patternFill>
                  <bgColor theme="5" tint="0.39994506668294322"/>
                </patternFill>
              </fill>
            </x14:dxf>
          </x14:cfRule>
          <x14:cfRule type="cellIs" priority="96" operator="equal" id="{1BD004DB-4F1E-4A73-BB3B-095433E2161E}">
            <xm:f>'CÁLCULO GLOBAL'!$C$37</xm:f>
            <x14:dxf>
              <fill>
                <patternFill>
                  <bgColor theme="9"/>
                </patternFill>
              </fill>
            </x14:dxf>
          </x14:cfRule>
          <xm:sqref>C8:C30</xm:sqref>
        </x14:conditionalFormatting>
        <x14:conditionalFormatting xmlns:xm="http://schemas.microsoft.com/office/excel/2006/main">
          <x14:cfRule type="cellIs" priority="97" operator="equal" id="{862D5563-A819-4EE6-A1AC-A6592763EE8D}">
            <xm:f>'CÁLCULO GLOBAL'!$C$52</xm:f>
            <x14:dxf>
              <fill>
                <patternFill>
                  <bgColor rgb="FF00B0F0"/>
                </patternFill>
              </fill>
            </x14:dxf>
          </x14:cfRule>
          <xm:sqref>C8:C34</xm:sqref>
        </x14:conditionalFormatting>
        <x14:conditionalFormatting xmlns:xm="http://schemas.microsoft.com/office/excel/2006/main">
          <x14:cfRule type="cellIs" priority="42" operator="equal" id="{7A6083DA-AC8B-4FCE-B099-D66C4E6B6DCC}">
            <xm:f>'CÁLCULO GLOBAL'!$S$137</xm:f>
            <x14:dxf>
              <fill>
                <patternFill>
                  <bgColor theme="7" tint="0.39994506668294322"/>
                </patternFill>
              </fill>
            </x14:dxf>
          </x14:cfRule>
          <xm:sqref>E40:E56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CÁLCULO GLOBAL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Pérez Ramos</dc:creator>
  <cp:lastModifiedBy>Proyecto Quimipro</cp:lastModifiedBy>
  <dcterms:created xsi:type="dcterms:W3CDTF">2023-02-21T15:47:48Z</dcterms:created>
  <dcterms:modified xsi:type="dcterms:W3CDTF">2023-10-23T19:57:41Z</dcterms:modified>
</cp:coreProperties>
</file>